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Space Equation" sheetId="2" state="visible" r:id="rId4"/>
    <sheet name="Anchor Layout" sheetId="3" state="visible" r:id="rId5"/>
    <sheet name="Entrepreneur Layout" sheetId="4" state="visible" r:id="rId6"/>
    <sheet name="Parking Program" sheetId="5" state="visible" r:id="rId7"/>
    <sheet name="Price Benchmarks" sheetId="6" state="visible" r:id="rId8"/>
    <sheet name="Location Framework" sheetId="7" state="visible" r:id="rId9"/>
    <sheet name="Notes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<sst xmlns="http://schemas.openxmlformats.org/spreadsheetml/2006/main" count="490" uniqueCount="402">
  <si>
    <t xml:space="preserve">ATMOSPHERE — SPACE &amp; CAPACITY MODEL · INPUTS</t>
  </si>
  <si>
    <t xml:space="preserve">Value Masters Academy → A Level Alliances · September 2026 · Blue cells are inputs, black cells are formulas. Yellow = key lever.</t>
  </si>
  <si>
    <t xml:space="preserve">Input</t>
  </si>
  <si>
    <t xml:space="preserve">Value</t>
  </si>
  <si>
    <t xml:space="preserve">Unit</t>
  </si>
  <si>
    <t xml:space="preserve">Note / Source</t>
  </si>
  <si>
    <t xml:space="preserve">Leased area (GLA)</t>
  </si>
  <si>
    <t xml:space="preserve">sqft</t>
  </si>
  <si>
    <t xml:space="preserve">User scenario: 100K sqft box (in-mall department store or freestanding big box).</t>
  </si>
  <si>
    <t xml:space="preserve">Public area obligation</t>
  </si>
  <si>
    <t xml:space="preserve">%</t>
  </si>
  <si>
    <t xml:space="preserve">User: 40% of leased area is public (plaza, corridors, restrooms, egress). Verify with local zoning.</t>
  </si>
  <si>
    <t xml:space="preserve">Mezzanine ratio — of net interior</t>
  </si>
  <si>
    <t xml:space="preserve">User: 1/3 of the remaining 60K as mezzanine. Verify structural load and fire code.</t>
  </si>
  <si>
    <t xml:space="preserve">Parking multiplier (× GLA)</t>
  </si>
  <si>
    <t xml:space="preserve">x</t>
  </si>
  <si>
    <t xml:space="preserve">User: landlord must provide at least 1.2x–1.5x parking. Base case 1.2x; type 1.5 and the whole model recalculates.</t>
  </si>
  <si>
    <t xml:space="preserve">Share of parking allocated to open market</t>
  </si>
  <si>
    <t xml:space="preserve">User: 1/10 of parking as open market.</t>
  </si>
  <si>
    <t xml:space="preserve">Anchor brand share — of leased area</t>
  </si>
  <si>
    <t xml:space="preserve">User: 1/3 of leased area to anchor brands, 2/3 to plug-and-play entrepreneurs.</t>
  </si>
  <si>
    <t xml:space="preserve">One parking space (incl. maneuvering)</t>
  </si>
  <si>
    <t xml:space="preserve">Industry average 300–350 sqft/car (ITE). Adjustable.</t>
  </si>
  <si>
    <t xml:space="preserve">Target physical user count</t>
  </si>
  <si>
    <t xml:space="preserve">adet</t>
  </si>
  <si>
    <t xml:space="preserve">User: 1,001 physical user positions.</t>
  </si>
  <si>
    <t xml:space="preserve">Digital-twin pickup/return locker count</t>
  </si>
  <si>
    <t xml:space="preserve">User: 1,001 digital-twin drop-off / return points.</t>
  </si>
  <si>
    <t xml:space="preserve">Footprint per locker (incl. aisle)</t>
  </si>
  <si>
    <t xml:space="preserve">Standard parcel-locker bank: ~1.4–1.8 sqft/locker incl. aisle (Amazon Hub / InPost type). Estimate.</t>
  </si>
  <si>
    <t xml:space="preserve">Return/pickup counter and back office</t>
  </si>
  <si>
    <t xml:space="preserve">Estimate: 2 staff + scanning + staging shelf.</t>
  </si>
  <si>
    <t xml:space="preserve">Daily table (6 ft) — gross area</t>
  </si>
  <si>
    <t xml:space="preserve">6x2.5 ft table + work zone + shared aisle. Market-hall density. Estimate.</t>
  </si>
  <si>
    <t xml:space="preserve">Mid-term vitrine/kiosk — gross area</t>
  </si>
  <si>
    <t xml:space="preserve">10x8 ft kiosk + aisle share. Estimate.</t>
  </si>
  <si>
    <t xml:space="preserve">Open-market stall (10x10) — gross area</t>
  </si>
  <si>
    <t xml:space="preserve">10x10 tent + 2 ft aisle share (parking grid). Estimate.</t>
  </si>
  <si>
    <t xml:space="preserve">Studio (yoga/pilates/dance/tennis briefing) — gross</t>
  </si>
  <si>
    <t xml:space="preserve">Group class of 8–12. Estimate.</t>
  </si>
  <si>
    <t xml:space="preserve">Micro room (coach/therapist/teacher) — gross</t>
  </si>
  <si>
    <t xml:space="preserve">Enclosed room for 1–3. Estimate.</t>
  </si>
  <si>
    <t xml:space="preserve">Hot desk — gross</t>
  </si>
  <si>
    <t xml:space="preserve">Shared work point. Estimate.</t>
  </si>
  <si>
    <t xml:space="preserve">Maker bench — gross</t>
  </si>
  <si>
    <t xml:space="preserve">Powered wet/dry bench. Estimate.</t>
  </si>
  <si>
    <t xml:space="preserve">Visible stock cage — net</t>
  </si>
  <si>
    <t xml:space="preserve">4x2 ft wire cage; stock in front of the buyer (05 Back of House).</t>
  </si>
  <si>
    <t xml:space="preserve">Stock-cage aisle share</t>
  </si>
  <si>
    <t xml:space="preserve">Aisle share added to net cage area. Estimate.</t>
  </si>
  <si>
    <t xml:space="preserve">Live-stream booth — gross</t>
  </si>
  <si>
    <t xml:space="preserve">Light + camera + backdrop. Estimate.</t>
  </si>
  <si>
    <t xml:space="preserve">Creator pod (single-person stream) — gross</t>
  </si>
  <si>
    <t xml:space="preserve">Acoustic pod. Estimate.</t>
  </si>
  <si>
    <t xml:space="preserve">Packing station — gross</t>
  </si>
  <si>
    <t xml:space="preserve">04 Live Commerce Center. Estimate.</t>
  </si>
  <si>
    <t xml:space="preserve">SPACE EQUATION — Leased area − Public area + Mezzanine + Parking open-market area</t>
  </si>
  <si>
    <t xml:space="preserve">Row</t>
  </si>
  <si>
    <t xml:space="preserve">Item</t>
  </si>
  <si>
    <t xml:space="preserve">Formula / Note</t>
  </si>
  <si>
    <t xml:space="preserve">A</t>
  </si>
  <si>
    <t xml:space="preserve">B</t>
  </si>
  <si>
    <t xml:space="preserve">Public area (mandatory)</t>
  </si>
  <si>
    <t xml:space="preserve">A × public share</t>
  </si>
  <si>
    <t xml:space="preserve">C</t>
  </si>
  <si>
    <t xml:space="preserve">Net interior (ground)</t>
  </si>
  <si>
    <t xml:space="preserve">A − B</t>
  </si>
  <si>
    <t xml:space="preserve">D</t>
  </si>
  <si>
    <t xml:space="preserve">Mezzanine</t>
  </si>
  <si>
    <t xml:space="preserve">C × mezzanine ratio</t>
  </si>
  <si>
    <t xml:space="preserve">E</t>
  </si>
  <si>
    <t xml:space="preserve">Parking area (landlord obligation)</t>
  </si>
  <si>
    <t xml:space="preserve">A × parking multiplier</t>
  </si>
  <si>
    <t xml:space="preserve">F</t>
  </si>
  <si>
    <t xml:space="preserve">Parking open-market area</t>
  </si>
  <si>
    <t xml:space="preserve">E × open-market share</t>
  </si>
  <si>
    <t xml:space="preserve">G</t>
  </si>
  <si>
    <t xml:space="preserve">TOTAL PROGRAMMABLE AREA</t>
  </si>
  <si>
    <t xml:space="preserve">C + D + F  ← the equation</t>
  </si>
  <si>
    <t xml:space="preserve">H</t>
  </si>
  <si>
    <t xml:space="preserve">Anchor brand area (ground)</t>
  </si>
  <si>
    <t xml:space="preserve">A × anchor share (user definition: based on leased area)</t>
  </si>
  <si>
    <t xml:space="preserve">I</t>
  </si>
  <si>
    <t xml:space="preserve">Ground — entrepreneur area</t>
  </si>
  <si>
    <t xml:space="preserve">C − H (anchors on ground floor)</t>
  </si>
  <si>
    <t xml:space="preserve">J</t>
  </si>
  <si>
    <t xml:space="preserve">Mezzanine — entrepreneur area</t>
  </si>
  <si>
    <t xml:space="preserve">D (mezzanine fully entrepreneur)</t>
  </si>
  <si>
    <t xml:space="preserve">K</t>
  </si>
  <si>
    <t xml:space="preserve">Parking — entrepreneur open market</t>
  </si>
  <si>
    <t xml:space="preserve">L</t>
  </si>
  <si>
    <t xml:space="preserve">ENTREPRENEUR TOTAL PROGRAMMABLE</t>
  </si>
  <si>
    <t xml:space="preserve">I + J + K = G − H</t>
  </si>
  <si>
    <t xml:space="preserve">M</t>
  </si>
  <si>
    <t xml:space="preserve">Entrepreneur share (of programmable area)</t>
  </si>
  <si>
    <t xml:space="preserve">L / G</t>
  </si>
  <si>
    <t xml:space="preserve">N</t>
  </si>
  <si>
    <t xml:space="preserve">Anchor share (of programmable area)</t>
  </si>
  <si>
    <t xml:space="preserve">H / G</t>
  </si>
  <si>
    <t xml:space="preserve">O</t>
  </si>
  <si>
    <t xml:space="preserve">Total parking spaces (gross)</t>
  </si>
  <si>
    <t xml:space="preserve">E / sqft per space</t>
  </si>
  <si>
    <t xml:space="preserve">Check: public area is deducted from leased area and not programmed; anchor area sits on the ground floor within net interior.</t>
  </si>
  <si>
    <t xml:space="preserve">ANCHOR BRAND LAYOUT — 1/3 of leased area (ground floor)</t>
  </si>
  <si>
    <t xml:space="preserve">Budget (sqft):</t>
  </si>
  <si>
    <t xml:space="preserve">Anchor category</t>
  </si>
  <si>
    <t xml:space="preserve">Unit area (sqft)</t>
  </si>
  <si>
    <t xml:space="preserve">Count</t>
  </si>
  <si>
    <t xml:space="preserve">Total (sqft)</t>
  </si>
  <si>
    <t xml:space="preserve">Note</t>
  </si>
  <si>
    <t xml:space="preserve">Grocery (TJ / small format) — category anchor</t>
  </si>
  <si>
    <t xml:space="preserve">Trader Joe's typically 10–15K sqft. Foot-traffic engine.</t>
  </si>
  <si>
    <t xml:space="preserve">Off-price (TJX category: TJ Maxx / Marshalls / HomeGoods)</t>
  </si>
  <si>
    <t xml:space="preserve">TJX small format 10–20K. Single-category exclusivity.</t>
  </si>
  <si>
    <t xml:space="preserve">Appliance showroom (category anchor)</t>
  </si>
  <si>
    <t xml:space="preserve">Display + order; stock in 05 Back of House.</t>
  </si>
  <si>
    <t xml:space="preserve">Electronics express (Best Buy-type assortment)</t>
  </si>
  <si>
    <t xml:space="preserve">Small format / kiosk + service.</t>
  </si>
  <si>
    <t xml:space="preserve">Bistro</t>
  </si>
  <si>
    <t xml:space="preserve">Facing the stage, 60–80 seats.</t>
  </si>
  <si>
    <t xml:space="preserve">Café</t>
  </si>
  <si>
    <t xml:space="preserve">On the plaza edge.</t>
  </si>
  <si>
    <t xml:space="preserve">Local street-food counter</t>
  </si>
  <si>
    <t xml:space="preserve">6 local operators; 3-month rotation.</t>
  </si>
  <si>
    <t xml:space="preserve">Wellness / pharmacy / optical (infill anchor)</t>
  </si>
  <si>
    <t xml:space="preserve">Infill closing the budget; category adjustable.</t>
  </si>
  <si>
    <t xml:space="preserve">TOTAL ANCHOR AREA</t>
  </si>
  <si>
    <t xml:space="preserve">Anchor unit count (brands + operators)</t>
  </si>
  <si>
    <t xml:space="preserve">Budget gap (budget − used)</t>
  </si>
  <si>
    <t xml:space="preserve">Should be near 0; negative means anchor area exceeds budget.</t>
  </si>
  <si>
    <t xml:space="preserve">Anchor brand count (excl. street food)</t>
  </si>
  <si>
    <t xml:space="preserve">Check: overrun?</t>
  </si>
  <si>
    <t xml:space="preserve">ENTREPRENEUR LAYOUT — 01 Market Hall · 02 Enterprise Arcade · 03 The Stage · 04 Live Commerce · 05 Back of House · Digital-Twin Point</t>
  </si>
  <si>
    <t xml:space="preserve">Target users:</t>
  </si>
  <si>
    <t xml:space="preserve">Line</t>
  </si>
  <si>
    <t xml:space="preserve">Unit type</t>
  </si>
  <si>
    <t xml:space="preserve">Floor</t>
  </si>
  <si>
    <t xml:space="preserve">User positions</t>
  </si>
  <si>
    <t xml:space="preserve">01</t>
  </si>
  <si>
    <t xml:space="preserve">Daily table (Open Market &amp; Market Hall)</t>
  </si>
  <si>
    <t xml:space="preserve">Ground</t>
  </si>
  <si>
    <t xml:space="preserve">A counter rented for a day; hotel-room logic.</t>
  </si>
  <si>
    <t xml:space="preserve">Mid-term vitrine / kiosk</t>
  </si>
  <si>
    <t xml:space="preserve">Monthly–seasonal vitrine; second rung of the ladder.</t>
  </si>
  <si>
    <t xml:space="preserve">Market management + info point</t>
  </si>
  <si>
    <t xml:space="preserve">Zemin</t>
  </si>
  <si>
    <t xml:space="preserve">Booking desk, OffNdOn kiosk, security.</t>
  </si>
  <si>
    <t xml:space="preserve">Open-market stall (parking area)</t>
  </si>
  <si>
    <t xml:space="preserve">Otopark</t>
  </si>
  <si>
    <t xml:space="preserve">10x10 tent; weekend and evening market.</t>
  </si>
  <si>
    <t xml:space="preserve">02</t>
  </si>
  <si>
    <t xml:space="preserve">Studio (yoga / pilates / dance / briefing)</t>
  </si>
  <si>
    <t xml:space="preserve">Asma kat</t>
  </si>
  <si>
    <t xml:space="preserve">Hourly booking; the yoga and tennis coach's studio.</t>
  </si>
  <si>
    <t xml:space="preserve">Micro room (coach / therapist / teacher)</t>
  </si>
  <si>
    <t xml:space="preserve">Hourly enclosed room.</t>
  </si>
  <si>
    <t xml:space="preserve">Hot desk</t>
  </si>
  <si>
    <t xml:space="preserve">Work point for the young brand / graduate founder.</t>
  </si>
  <si>
    <t xml:space="preserve">Maker bench</t>
  </si>
  <si>
    <t xml:space="preserve">Workshop; ceramics, textile, electronics.</t>
  </si>
  <si>
    <t xml:space="preserve">Arcade shared area / circulation</t>
  </si>
  <si>
    <t xml:space="preserve">Infill.</t>
  </si>
  <si>
    <t xml:space="preserve">03</t>
  </si>
  <si>
    <t xml:space="preserve">Main stage + seating</t>
  </si>
  <si>
    <t xml:space="preserve">Events, concerts, open classes, live selling. 1 position = stage slot.</t>
  </si>
  <si>
    <t xml:space="preserve">Live-stream booth</t>
  </si>
  <si>
    <t xml:space="preserve">TikTok Shop / Etsy live selling.</t>
  </si>
  <si>
    <t xml:space="preserve">Creator pod</t>
  </si>
  <si>
    <t xml:space="preserve">Single-person streaming.</t>
  </si>
  <si>
    <t xml:space="preserve">Green room + control room</t>
  </si>
  <si>
    <t xml:space="preserve">Technical area.</t>
  </si>
  <si>
    <t xml:space="preserve">04</t>
  </si>
  <si>
    <t xml:space="preserve">Packing station (Live Commerce Center)</t>
  </si>
  <si>
    <t xml:space="preserve">What sells on the stage ships within the hour.</t>
  </si>
  <si>
    <t xml:space="preserve">Sorting / staging / courier ramp</t>
  </si>
  <si>
    <t xml:space="preserve">Dolly access to ground; courier handoff point.</t>
  </si>
  <si>
    <t xml:space="preserve">05</t>
  </si>
  <si>
    <t xml:space="preserve">Visible stock cage (Back of House)</t>
  </si>
  <si>
    <t xml:space="preserve">The tenant's surplus stock in front of the buyer.</t>
  </si>
  <si>
    <t xml:space="preserve">Stock-cage aisles</t>
  </si>
  <si>
    <t xml:space="preserve">Net cage area × aisle share.</t>
  </si>
  <si>
    <t xml:space="preserve">DT</t>
  </si>
  <si>
    <t xml:space="preserve">Digital-twin pickup/return lockers</t>
  </si>
  <si>
    <t xml:space="preserve">1,001 lockers; online order pickup + returns.</t>
  </si>
  <si>
    <t xml:space="preserve">Return/pickup counter</t>
  </si>
  <si>
    <t xml:space="preserve">Staff + scanning.</t>
  </si>
  <si>
    <t xml:space="preserve">Support</t>
  </si>
  <si>
    <t xml:space="preserve">Shared commercial kitchen (cottage-food compliant)</t>
  </si>
  <si>
    <t xml:space="preserve">Production/sales compliant with the state cottage food law.</t>
  </si>
  <si>
    <t xml:space="preserve">Tenant lounge</t>
  </si>
  <si>
    <t xml:space="preserve">Hotel lobby.</t>
  </si>
  <si>
    <t xml:space="preserve">TOTAL</t>
  </si>
  <si>
    <t xml:space="preserve">PER-FLOOR CHECK</t>
  </si>
  <si>
    <t xml:space="preserve">Budget (sqft)</t>
  </si>
  <si>
    <t xml:space="preserve">Used (sqft)</t>
  </si>
  <si>
    <t xml:space="preserve">Gap</t>
  </si>
  <si>
    <t xml:space="preserve">Status</t>
  </si>
  <si>
    <t xml:space="preserve">Parking</t>
  </si>
  <si>
    <t xml:space="preserve">Total entrepreneur area</t>
  </si>
  <si>
    <t xml:space="preserve">USER CHECK</t>
  </si>
  <si>
    <t xml:space="preserve">Target physical users</t>
  </si>
  <si>
    <t xml:space="preserve">Achieved user positions</t>
  </si>
  <si>
    <t xml:space="preserve">Selling positions (excl. stock cages)</t>
  </si>
  <si>
    <t xml:space="preserve">Note: 420 of the 1,001 are visible-stock-cage tenants.</t>
  </si>
  <si>
    <t xml:space="preserve">Entrepreneur area / user (sqft)</t>
  </si>
  <si>
    <t xml:space="preserve">PER-LINE SUMMARY (P&amp;L infrastructure)</t>
  </si>
  <si>
    <t xml:space="preserve">Name</t>
  </si>
  <si>
    <t xml:space="preserve">Area (sqft)</t>
  </si>
  <si>
    <t xml:space="preserve">Area share</t>
  </si>
  <si>
    <t xml:space="preserve">Open Market &amp; Market Hall</t>
  </si>
  <si>
    <t xml:space="preserve">Enterprise Arcade</t>
  </si>
  <si>
    <t xml:space="preserve">The Stage</t>
  </si>
  <si>
    <t xml:space="preserve">Live Commerce Center</t>
  </si>
  <si>
    <t xml:space="preserve">Back of House</t>
  </si>
  <si>
    <t xml:space="preserve">Digital-twin pickup/return point</t>
  </si>
  <si>
    <t xml:space="preserve">Tenant support areas</t>
  </si>
  <si>
    <t xml:space="preserve">PARKING PROGRAM — the area the landlord must provide</t>
  </si>
  <si>
    <t xml:space="preserve">Total parking area (sqft):</t>
  </si>
  <si>
    <t xml:space="preserve">Use</t>
  </si>
  <si>
    <t xml:space="preserve">Car-space equivalent</t>
  </si>
  <si>
    <t xml:space="preserve">Open-market area (line 01)</t>
  </si>
  <si>
    <t xml:space="preserve">1/10 of parking; user definition.</t>
  </si>
  <si>
    <t xml:space="preserve">Dog park</t>
  </si>
  <si>
    <t xml:space="preserve">Fenced, double-gated; estimate.</t>
  </si>
  <si>
    <t xml:space="preserve">Dog café (kiosk + terrace)</t>
  </si>
  <si>
    <t xml:space="preserve">Estimate.</t>
  </si>
  <si>
    <t xml:space="preserve">Car wash (self / express)</t>
  </si>
  <si>
    <t xml:space="preserve">2 lanes + queue; estimate.</t>
  </si>
  <si>
    <t xml:space="preserve">EV charging (dual use — still parkable)</t>
  </si>
  <si>
    <t xml:space="preserve">20 charged spaces; still counted as parking.</t>
  </si>
  <si>
    <t xml:space="preserve">Bike parking + charging</t>
  </si>
  <si>
    <t xml:space="preserve">Covered, 40 bikes; estimate.</t>
  </si>
  <si>
    <t xml:space="preserve">Total allocated</t>
  </si>
  <si>
    <t xml:space="preserve">Remaining pure parking (sqft)</t>
  </si>
  <si>
    <t xml:space="preserve">EV spaces added back (dual use).</t>
  </si>
  <si>
    <t xml:space="preserve">Remaining car spaces (count)</t>
  </si>
  <si>
    <t xml:space="preserve">Gross car spaces (pre-allocation)</t>
  </si>
  <si>
    <t xml:space="preserve">Spaces / 1,000 sqft GLA (post-allocation)</t>
  </si>
  <si>
    <t xml:space="preserve">Local zoning typically requires 3–5 spaces / 1,000 sqft. Below 3, shrink the open market or dog park, or seek a variance.</t>
  </si>
  <si>
    <t xml:space="preserve">Check</t>
  </si>
  <si>
    <t xml:space="preserve">PRICE BENCHMARKS — market anchors for the daily table and the line 01 revenue bridge</t>
  </si>
  <si>
    <t xml:space="preserve">Blue cells are inputs. This sheet is the starting point of the P&amp;L's line 01 revenue formula.</t>
  </si>
  <si>
    <t xml:space="preserve">Market product</t>
  </si>
  <si>
    <t xml:space="preserve">Low ($/day)</t>
  </si>
  <si>
    <t xml:space="preserve">High ($/day)</t>
  </si>
  <si>
    <t xml:space="preserve">Mid</t>
  </si>
  <si>
    <t xml:space="preserve">Terms / Source</t>
  </si>
  <si>
    <t xml:space="preserve">Costco vendor-performed demo space fee</t>
  </si>
  <si>
    <t xml:space="preserve">Approved Costco vendors only (≈$1M sales); own staff; consignment. CDS Non-CDS Vendor Packet.</t>
  </si>
  <si>
    <t xml:space="preserve">Costco / Sam's official program demo day</t>
  </si>
  <si>
    <t xml:space="preserve">Approved vendor + CDS/Product Connections staff; product excluded. Street Teams Co 2026.</t>
  </si>
  <si>
    <t xml:space="preserve">Third-party demo agency (staff included)</t>
  </si>
  <si>
    <t xml:space="preserve">Any brand; 4–6h specialist; product +$50–200. Street Teams Co 2026.</t>
  </si>
  <si>
    <t xml:space="preserve">Costco Roadshow (7–14 days, per-day equivalent)</t>
  </si>
  <si>
    <t xml:space="preserve">$5,000–15,000/warehouse/week; staff and stock are the brand's. Think Nectar.</t>
  </si>
  <si>
    <t xml:space="preserve">Craft-fair booth fee (single day)</t>
  </si>
  <si>
    <t xml:space="preserve">Seller accounts; typical sales $100–250/day.</t>
  </si>
  <si>
    <t xml:space="preserve">Side-hustle median (monthly, for comparison)</t>
  </si>
  <si>
    <t xml:space="preserve">Bankrate 2025: median $200/mo.</t>
  </si>
  <si>
    <t xml:space="preserve">ATMOSPHERE PRICE BAND (input)</t>
  </si>
  <si>
    <t xml:space="preserve">Customer type</t>
  </si>
  <si>
    <t xml:space="preserve">Floor ($/day)</t>
  </si>
  <si>
    <t xml:space="preserve">Ceiling ($/day)</t>
  </si>
  <si>
    <t xml:space="preserve">Base price</t>
  </si>
  <si>
    <t xml:space="preserve">Logic</t>
  </si>
  <si>
    <t xml:space="preserve">Entrepreneur / maker (Maya) — daily table</t>
  </si>
  <si>
    <t xml:space="preserve">Between the Costco floor ($35) and the agency demo ($250); comparable to a fair booth. Fifth Signal prices dynamically.</t>
  </si>
  <si>
    <t xml:space="preserve">CPG brand testing product — same table</t>
  </si>
  <si>
    <t xml:space="preserve">Parallel to the official CDS tariff; staff excluded.</t>
  </si>
  <si>
    <t xml:space="preserve">Open-market stall (parking, 10x10)</t>
  </si>
  <si>
    <t xml:space="preserve">Farmers-market / flea-market level.</t>
  </si>
  <si>
    <t xml:space="preserve">LINE 01 INDICATIVE REVENUE BRIDGE (daily tables + open market only; vitrines and other lines in the P&amp;L)</t>
  </si>
  <si>
    <t xml:space="preserve">Daily table count</t>
  </si>
  <si>
    <t xml:space="preserve">From the Entrepreneur Layout sheet</t>
  </si>
  <si>
    <t xml:space="preserve">Open-market stall count</t>
  </si>
  <si>
    <t xml:space="preserve">Table share — CPG test customers</t>
  </si>
  <si>
    <t xml:space="preserve">% of tables sold as brand test counters.</t>
  </si>
  <si>
    <t xml:space="preserve">Average occupancy — daily tables</t>
  </si>
  <si>
    <t xml:space="preserve">Hotel-occupancy logic; weekday/weekend mix. Assumption.</t>
  </si>
  <si>
    <t xml:space="preserve">Average occupancy — open market</t>
  </si>
  <si>
    <t xml:space="preserve">Weekend-weighted. Assumption.</t>
  </si>
  <si>
    <t xml:space="preserve">Open days / year</t>
  </si>
  <si>
    <t xml:space="preserve">Blended table price ($/day)</t>
  </si>
  <si>
    <t xml:space="preserve">Entrepreneur base × (1−share) + CPG base × share</t>
  </si>
  <si>
    <t xml:space="preserve">Annual revenue — daily tables ($)</t>
  </si>
  <si>
    <t xml:space="preserve">count × price × occupancy × days</t>
  </si>
  <si>
    <t xml:space="preserve">Annual revenue — open-market stalls ($)</t>
  </si>
  <si>
    <t xml:space="preserve">TOTAL line 01 indicative revenue ($)</t>
  </si>
  <si>
    <t xml:space="preserve">Revenue / used line 01 area ($/sqft/yr)</t>
  </si>
  <si>
    <t xml:space="preserve">Benchmark: national average retail asking rent $25.5/sqft/yr NNN (CoStar, Q1 2025).</t>
  </si>
  <si>
    <t xml:space="preserve">Rent multiple (line 01 table revenue / market rent)</t>
  </si>
  <si>
    <t xml:space="preserve">Above 1 = the same square foot out-earns a single tenant. Indicative; operating costs not deducted.</t>
  </si>
  <si>
    <t xml:space="preserve">NATIONAL LOCATION FRAMEWORK — Trader Joe's footprint + Gen Z/conscious consumer + B/C box stock</t>
  </si>
  <si>
    <t xml:space="preserve">Rule: NO min/max distance to known brands. The score is computed by trade area (county/metro); wherever the B/C box is, the score lands there.</t>
  </si>
  <si>
    <t xml:space="preserve">Criterion</t>
  </si>
  <si>
    <t xml:space="preserve">Weight</t>
  </si>
  <si>
    <t xml:space="preserve">Measure / Source</t>
  </si>
  <si>
    <t xml:space="preserve">A. Trader Joe's density (stores / 100K population, county)</t>
  </si>
  <si>
    <t xml:space="preserve">ScrapeHero/LocationsCloud TJ dataset (661 stores, Aug 2026). In non-TJ states this weight transfers to B.</t>
  </si>
  <si>
    <t xml:space="preserve">B. Gen Z share (population share aged 20–24, county)</t>
  </si>
  <si>
    <t xml:space="preserve">Census ACS 5-year; cross-checked with the CommercialCafe Gen Z index.</t>
  </si>
  <si>
    <t xml:space="preserve">C. Conscious-consumer cluster (Whole Foods, Sprouts, REI, Lululemon, Apple Store, farmers-market count)</t>
  </si>
  <si>
    <t xml:space="preserve">Brand location datasets + USDA Farmers Market Directory. Cluster = total brand points in the county.</t>
  </si>
  <si>
    <t xml:space="preserve">D. Class B/C mall and empty big-box stock (count, sqft)</t>
  </si>
  <si>
    <t xml:space="preserve">Green Street mall classes (250 B-malls), CoStar/Coresight closure data, Macy's/JCPenney/Walgreens closure lists.</t>
  </si>
  <si>
    <t xml:space="preserve">E. Nonemployer density (nonemployers / 1,000 population, county)</t>
  </si>
  <si>
    <t xml:space="preserve">Census NES 2023 county tables + BFS county applications (2025, published June 2026).</t>
  </si>
  <si>
    <t xml:space="preserve">F. State cottage-food regime (revenue cap, online sales permission)</t>
  </si>
  <si>
    <t xml:space="preserve">FL $250K and TX $150K most favorable; IJ and Nat'l Ag Law Center.</t>
  </si>
  <si>
    <t xml:space="preserve">G. Retail rent level (NNN $/sqft, inverse score)</t>
  </si>
  <si>
    <t xml:space="preserve">CoStar/C&amp;W metro rents; low rent = high score (box conversion margin).</t>
  </si>
  <si>
    <t xml:space="preserve">Total weight (must equal 100%)</t>
  </si>
  <si>
    <t xml:space="preserve">TWO TRACKS</t>
  </si>
  <si>
    <t xml:space="preserve">Track A — the 42 TJ states + DC</t>
  </si>
  <si>
    <t xml:space="preserve">A TJ store's county = a 'conscious-consumer verified' county. B/C boxes in that county and its neighbors enter the pool; no distance limits.</t>
  </si>
  <si>
    <t xml:space="preserve">Track B — the 8 states without TJ: AK, HI, MS, MT, ND, SD, WV, WY</t>
  </si>
  <si>
    <t xml:space="preserve">TJ weight (A) transfers to Gen Z (B) and conscious-consumer cluster (C): B=25%, C=25%. College counties first.</t>
  </si>
  <si>
    <t xml:space="preserve">TRADER JOE'S BY STATE (top 10, Aug 2025 snapshot; total Aug 2026: 661)</t>
  </si>
  <si>
    <t xml:space="preserve">State</t>
  </si>
  <si>
    <t xml:space="preserve">Stores</t>
  </si>
  <si>
    <t xml:space="preserve">Population / store</t>
  </si>
  <si>
    <t xml:space="preserve">California</t>
  </si>
  <si>
    <t xml:space="preserve">Population/store: 192.7K  (ScrapeHero, Aug 19, 2025)</t>
  </si>
  <si>
    <t xml:space="preserve">New York</t>
  </si>
  <si>
    <t xml:space="preserve">Population/store: 555.8K  (ScrapeHero, Aug 19, 2025)</t>
  </si>
  <si>
    <t xml:space="preserve">Washington</t>
  </si>
  <si>
    <t xml:space="preserve">Population/store: 262.6K  (ScrapeHero, Aug 19, 2025)</t>
  </si>
  <si>
    <t xml:space="preserve">Florida</t>
  </si>
  <si>
    <t xml:space="preserve">Population/store: 795.5K  (ScrapeHero, Aug 19, 2025)</t>
  </si>
  <si>
    <t xml:space="preserve">Illinois</t>
  </si>
  <si>
    <t xml:space="preserve">Population/store: 551.0K  (ScrapeHero, Aug 19, 2025)</t>
  </si>
  <si>
    <t xml:space="preserve">Massachusetts</t>
  </si>
  <si>
    <t xml:space="preserve">Population/store: 299.7K  (ScrapeHero, Aug 19, 2025)</t>
  </si>
  <si>
    <t xml:space="preserve">Texas</t>
  </si>
  <si>
    <t xml:space="preserve">Population/store: 1.32M  (ScrapeHero, Aug 19, 2025)</t>
  </si>
  <si>
    <t xml:space="preserve">Arizona</t>
  </si>
  <si>
    <t xml:space="preserve">Population/store: 383.1K  (ScrapeHero, Aug 19, 2025)</t>
  </si>
  <si>
    <t xml:space="preserve">New Jersey</t>
  </si>
  <si>
    <t xml:space="preserve">Population/store: 467.5K  (ScrapeHero, Aug 19, 2025)</t>
  </si>
  <si>
    <t xml:space="preserve">Virginia</t>
  </si>
  <si>
    <t xml:space="preserve">Population/store: 502.1K  (ScrapeHero, Aug 19, 2025)</t>
  </si>
  <si>
    <t xml:space="preserve">FIRST-PASS METRO POOL (to verify: B/C box inventory to be pulled from Green Street/CoStar)</t>
  </si>
  <si>
    <t xml:space="preserve">Metro</t>
  </si>
  <si>
    <t xml:space="preserve">TJ (in-city)</t>
  </si>
  <si>
    <t xml:space="preserve">Why in the pool</t>
  </si>
  <si>
    <t xml:space="preserve">Los Angeles / Orange County, CA</t>
  </si>
  <si>
    <t xml:space="preserve">Densest TJ footprint; Class C malls and closing Macy's boxes; Etsy/TikTok seller density; pilot near ALA's base.</t>
  </si>
  <si>
    <t xml:space="preserve">New York metro (NYC + NJ), NY/NJ</t>
  </si>
  <si>
    <t xml:space="preserve">NJ has 19 TJ; Class B suburban mall stock; the highest nonemployer density.</t>
  </si>
  <si>
    <t xml:space="preserve">San Diego, CA</t>
  </si>
  <si>
    <t xml:space="preserve">TJ dense; college + military Gen Z; cross-border producers (Tijuana) — the global wave.</t>
  </si>
  <si>
    <t xml:space="preserve">San Francisco Bay Area, CA</t>
  </si>
  <si>
    <t xml:space="preserve">TJ dense; highest rents → distressed boxes only; Etsy/TikTok seller density.</t>
  </si>
  <si>
    <t xml:space="preserve">Washington DC metro, DC/VA/MD</t>
  </si>
  <si>
    <t xml:space="preserve">VA has 17 TJ; highly educated Gen Z; Class B mall stock (Landmark, Springfield precedents).</t>
  </si>
  <si>
    <t xml:space="preserve">Chicago, IL</t>
  </si>
  <si>
    <t xml:space="preserve">IL has 23 TJ; deep Midwest B/C mall stock; low rents; high in CommercialCafe's Gen Z ranking.</t>
  </si>
  <si>
    <t xml:space="preserve">Seattle, WA</t>
  </si>
  <si>
    <t xml:space="preserve">WA has 29 TJ (2nd per capita); the only Western city in the Gen Z ranking.</t>
  </si>
  <si>
    <t xml:space="preserve">Dallas–Fort Worth, TX</t>
  </si>
  <si>
    <t xml:space="preserve">TX has 22 TJ; $150K cottage-food cap; fast population growth; large B/C mall stock.</t>
  </si>
  <si>
    <t xml:space="preserve">Portland, OR</t>
  </si>
  <si>
    <t xml:space="preserve">TJ + conscious-consumer cluster; low rents.</t>
  </si>
  <si>
    <t xml:space="preserve">Minneapolis–St. Paul, MN</t>
  </si>
  <si>
    <t xml:space="preserve">to verify</t>
  </si>
  <si>
    <t xml:space="preserve">CommercialCafe 2025 Gen Z #1; TJ present; Midwest B/C stock. Store count to verify.</t>
  </si>
  <si>
    <t xml:space="preserve">Atlanta, GA</t>
  </si>
  <si>
    <t xml:space="preserve">Gen Z South #1; TJ present; fast growth; B/C mall stock.</t>
  </si>
  <si>
    <t xml:space="preserve">Tampa / Orlando / Miami, FL</t>
  </si>
  <si>
    <t xml:space="preserve">FL has 27 TJ; $250K cottage cap (no license); Tampa high in Gen Z value rankings.</t>
  </si>
  <si>
    <t xml:space="preserve">Boston, MA</t>
  </si>
  <si>
    <t xml:space="preserve">MA has 23 TJ (3rd per capita); Northeast Gen Z #1; high rents → distressed boxes only.</t>
  </si>
  <si>
    <t xml:space="preserve">Phoenix / Tucson, AZ</t>
  </si>
  <si>
    <t xml:space="preserve">AZ has 19 TJ; Tucson's new TJ (2026); low rents; B/C mall stock.</t>
  </si>
  <si>
    <t xml:space="preserve">Milwaukee, WI</t>
  </si>
  <si>
    <t xml:space="preserve">Gen Z share 8.3% (2nd in the Midwest); TJ present; low rents; B/C stock.</t>
  </si>
  <si>
    <t xml:space="preserve">Austin / San Antonio, TX</t>
  </si>
  <si>
    <t xml:space="preserve">Gen Z South top tier; TJ present; TX cottage-food regime.</t>
  </si>
  <si>
    <t xml:space="preserve">Raleigh–Durham, NC</t>
  </si>
  <si>
    <t xml:space="preserve">Gen Z South top tier; college cluster; TJ present.</t>
  </si>
  <si>
    <t xml:space="preserve">Lincoln, NE / Ann Arbor, MI (Track A, college)</t>
  </si>
  <si>
    <t xml:space="preserve">Gen Z share 11.9% (Lincoln); Ann Arbor #1 for graduates; small-metro pilot.</t>
  </si>
  <si>
    <t xml:space="preserve">Track B examples: Missoula/Bozeman MT, Fargo ND, Sioux Falls SD, Jackson MS, Morgantown WV, Honolulu HI, Anchorage AK, Laramie/Cheyenne WY</t>
  </si>
  <si>
    <t xml:space="preserve">No TJ → scored by Gen Z + conscious-consumer cluster (REI, Whole Foods, farmers markets) + college county.</t>
  </si>
  <si>
    <t xml:space="preserve">HOW TO USE</t>
  </si>
  <si>
    <t xml:space="preserve">1) Change only the blue cells on the 'Inputs' sheet. Yellow cells are the key levers (GLA, public share, mezzanine, parking multiplier, anchor share, target users).</t>
  </si>
  <si>
    <t xml:space="preserve">2) 'Space Equation' applies the user's equation verbatim: Leased area − Public area + Mezzanine + Parking open-market area = Programmable area. Anchor share is based on leased area (GLA); entrepreneur area = programmable − anchor.</t>
  </si>
  <si>
    <t xml:space="preserve">3) On 'Anchor Layout' and 'Entrepreneur Layout', unit areas and counts are blue cells; per-floor check rows raise OVERRUN warnings. The P&amp;L will multiply these counts (tables, vitrines, stalls, studios, rooms, desks, benches, cages, booths, pods, stations, anchor units) by price × occupancy.</t>
  </si>
  <si>
    <t xml:space="preserve">4) The base case hits 1,001 exactly: 300 tables + 30 vitrines + 100 open-market stalls + 12 studios + 36 micro rooms + 51 hot desks + 25 maker benches + 1 stage + 4 booths + 8 pods + 14 packing stations + 420 stock cages = 1,001. The stock cage is a tenant product (line 05); if only selling positions are counted the figure is 581 and density inputs must change.</t>
  </si>
  <si>
    <t xml:space="preserve">5) The 1,001 digital-twin lockers (drop-off / return) are NOT counted as user positions; they take ground-floor area (≈1,600 sqft + 700 sqft counter).</t>
  </si>
  <si>
    <t xml:space="preserve">OPEN ASSUMPTIONS (to verify)</t>
  </si>
  <si>
    <t xml:space="preserve">• The 40% public area, 1/3 mezzanine, 1.2–1.5x parking, 1/10 open market and 1/3 anchor ratios were provided by the user (A Level Alliances); verify against local zoning, fire and building codes.</t>
  </si>
  <si>
    <t xml:space="preserve">• Unit densities (40 sqft table, 120 sqft kiosk/stall, 400 sqft studio, 8 sqft cage, etc.) are estimates based on industry practice; to be revised in schematic design.</t>
  </si>
  <si>
    <t xml:space="preserve">• Anchor category areas (TJ-type grocery 12K, TJX-type 10K, etc.) reflect typical small-format sizes; actual anchor deals will change them.</t>
  </si>
  <si>
    <t xml:space="preserve">• Parking at 325 sqft/car (incl. maneuvering) is the ITE average. A zoning-risk warning fires below 3 spaces/1,000 sqft post-allocation.</t>
  </si>
  <si>
    <t xml:space="preserve">LOCATION SOURCES</t>
  </si>
  <si>
    <t xml:space="preserve">• Trader Joe's: 661 stores, 42 states + DC (Aug 2026); non-TJ states AK, HI, MS, MT, ND, SD, WV, WY (company site, Apr 2026). State split per ScrapeHero, Aug 19, 2025 (608-store snapshot).</t>
  </si>
  <si>
    <t xml:space="preserve">• Gen Z rankings: CommercialCafe Best Cities for Gen Z 2025/2026 (Minneapolis #1, Atlanta, Boston, Tampa, Milwaukee 8.3%, Lincoln 11.9%); RentCafe Top Metros for Gen Z Graduates 2025 (Ann Arbor #1).</t>
  </si>
  <si>
    <t xml:space="preserve">• Mall class and vacancy: Green Street (250 B-malls; occupancy A 95% / B 89% / C 72%), Capital One Shopping (vacancy A 5.6% / B 9.0% / C 13.3%), Coresight (2025: 8,270 closures; 2026: 30M+ sqft closing).</t>
  </si>
  <si>
    <t xml:space="preserve">• Nonemployers: Census NES 2023 (30.4M); BFS county applications 2025 (published June 2026).</t>
  </si>
  <si>
    <t xml:space="preserve">• Cottage food: Institute for Justice; National Agricultural Law Center; FL $250K / TX $150K.</t>
  </si>
  <si>
    <t xml:space="preserve">Value Masters Academy → A Level Alliances · September 2026 · This model is indicative; not investment advice.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</si>
</sst>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;\(#,##0\);\-"/>
    <numFmt numFmtId="166" formatCode="0.0%"/>
    <numFmt numFmtId="167" formatCode="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EDEDED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6"/>
    <col collapsed="false" customWidth="true" hidden="false" outlineLevel="0" max="3" min="3" style="0" width="12"/>
    <col collapsed="false" customWidth="true" hidden="false" outlineLevel="0" max="4" min="4" style="0" width="7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4" t="s">
        <v>6</v>
      </c>
      <c r="B5" s="5" t="n">
        <v>100000</v>
      </c>
      <c r="C5" s="4" t="s">
        <v>7</v>
      </c>
      <c r="D5" s="6" t="s">
        <v>8</v>
      </c>
    </row>
    <row r="6" customFormat="false" ht="22.35" hidden="false" customHeight="false" outlineLevel="0" collapsed="false">
      <c r="A6" s="4" t="s">
        <v>9</v>
      </c>
      <c r="B6" s="7" t="n">
        <v>0.4</v>
      </c>
      <c r="C6" s="4" t="s">
        <v>10</v>
      </c>
      <c r="D6" s="6" t="s">
        <v>11</v>
      </c>
    </row>
    <row r="7" customFormat="false" ht="15" hidden="false" customHeight="false" outlineLevel="0" collapsed="false">
      <c r="A7" s="4" t="s">
        <v>12</v>
      </c>
      <c r="B7" s="7" t="n">
        <v>0.333333333333333</v>
      </c>
      <c r="C7" s="4" t="s">
        <v>10</v>
      </c>
      <c r="D7" s="6" t="s">
        <v>13</v>
      </c>
    </row>
    <row r="8" customFormat="false" ht="22.35" hidden="false" customHeight="false" outlineLevel="0" collapsed="false">
      <c r="A8" s="4" t="s">
        <v>14</v>
      </c>
      <c r="B8" s="8" t="n">
        <v>1.2</v>
      </c>
      <c r="C8" s="4" t="s">
        <v>15</v>
      </c>
      <c r="D8" s="6" t="s">
        <v>16</v>
      </c>
    </row>
    <row r="9" customFormat="false" ht="15" hidden="false" customHeight="false" outlineLevel="0" collapsed="false">
      <c r="A9" s="4" t="s">
        <v>17</v>
      </c>
      <c r="B9" s="7" t="n">
        <v>0.1</v>
      </c>
      <c r="C9" s="4" t="s">
        <v>10</v>
      </c>
      <c r="D9" s="6" t="s">
        <v>18</v>
      </c>
    </row>
    <row r="10" customFormat="false" ht="15" hidden="false" customHeight="false" outlineLevel="0" collapsed="false">
      <c r="A10" s="4" t="s">
        <v>19</v>
      </c>
      <c r="B10" s="7" t="n">
        <v>0.333333333333333</v>
      </c>
      <c r="C10" s="4" t="s">
        <v>10</v>
      </c>
      <c r="D10" s="6" t="s">
        <v>20</v>
      </c>
    </row>
    <row r="11" customFormat="false" ht="15" hidden="false" customHeight="false" outlineLevel="0" collapsed="false">
      <c r="A11" s="4" t="s">
        <v>21</v>
      </c>
      <c r="B11" s="9" t="n">
        <v>325</v>
      </c>
      <c r="C11" s="4" t="s">
        <v>7</v>
      </c>
      <c r="D11" s="6" t="s">
        <v>22</v>
      </c>
    </row>
    <row r="12" customFormat="false" ht="15" hidden="false" customHeight="false" outlineLevel="0" collapsed="false">
      <c r="A12" s="4" t="s">
        <v>23</v>
      </c>
      <c r="B12" s="5" t="n">
        <v>1001</v>
      </c>
      <c r="C12" s="4" t="s">
        <v>24</v>
      </c>
      <c r="D12" s="6" t="s">
        <v>25</v>
      </c>
    </row>
    <row r="13" customFormat="false" ht="15" hidden="false" customHeight="false" outlineLevel="0" collapsed="false">
      <c r="A13" s="4" t="s">
        <v>26</v>
      </c>
      <c r="B13" s="5" t="n">
        <v>1001</v>
      </c>
      <c r="C13" s="4" t="s">
        <v>24</v>
      </c>
      <c r="D13" s="6" t="s">
        <v>27</v>
      </c>
    </row>
    <row r="14" customFormat="false" ht="22.35" hidden="false" customHeight="false" outlineLevel="0" collapsed="false">
      <c r="A14" s="4" t="s">
        <v>28</v>
      </c>
      <c r="B14" s="10" t="n">
        <v>1.6</v>
      </c>
      <c r="C14" s="4" t="s">
        <v>7</v>
      </c>
      <c r="D14" s="6" t="s">
        <v>29</v>
      </c>
    </row>
    <row r="15" customFormat="false" ht="15" hidden="false" customHeight="false" outlineLevel="0" collapsed="false">
      <c r="A15" s="4" t="s">
        <v>30</v>
      </c>
      <c r="B15" s="9" t="n">
        <v>700</v>
      </c>
      <c r="C15" s="4" t="s">
        <v>7</v>
      </c>
      <c r="D15" s="6" t="s">
        <v>31</v>
      </c>
    </row>
    <row r="16" customFormat="false" ht="15" hidden="false" customHeight="false" outlineLevel="0" collapsed="false">
      <c r="A16" s="4" t="s">
        <v>32</v>
      </c>
      <c r="B16" s="9" t="n">
        <v>40</v>
      </c>
      <c r="C16" s="4" t="s">
        <v>7</v>
      </c>
      <c r="D16" s="6" t="s">
        <v>33</v>
      </c>
    </row>
    <row r="17" customFormat="false" ht="15" hidden="false" customHeight="false" outlineLevel="0" collapsed="false">
      <c r="A17" s="4" t="s">
        <v>34</v>
      </c>
      <c r="B17" s="9" t="n">
        <v>120</v>
      </c>
      <c r="C17" s="4" t="s">
        <v>7</v>
      </c>
      <c r="D17" s="6" t="s">
        <v>35</v>
      </c>
    </row>
    <row r="18" customFormat="false" ht="15" hidden="false" customHeight="false" outlineLevel="0" collapsed="false">
      <c r="A18" s="4" t="s">
        <v>36</v>
      </c>
      <c r="B18" s="9" t="n">
        <v>120</v>
      </c>
      <c r="C18" s="4" t="s">
        <v>7</v>
      </c>
      <c r="D18" s="6" t="s">
        <v>37</v>
      </c>
    </row>
    <row r="19" customFormat="false" ht="15" hidden="false" customHeight="false" outlineLevel="0" collapsed="false">
      <c r="A19" s="4" t="s">
        <v>38</v>
      </c>
      <c r="B19" s="9" t="n">
        <v>400</v>
      </c>
      <c r="C19" s="4" t="s">
        <v>7</v>
      </c>
      <c r="D19" s="6" t="s">
        <v>39</v>
      </c>
    </row>
    <row r="20" customFormat="false" ht="15" hidden="false" customHeight="false" outlineLevel="0" collapsed="false">
      <c r="A20" s="4" t="s">
        <v>40</v>
      </c>
      <c r="B20" s="9" t="n">
        <v>120</v>
      </c>
      <c r="C20" s="4" t="s">
        <v>7</v>
      </c>
      <c r="D20" s="6" t="s">
        <v>41</v>
      </c>
    </row>
    <row r="21" customFormat="false" ht="15" hidden="false" customHeight="false" outlineLevel="0" collapsed="false">
      <c r="A21" s="4" t="s">
        <v>42</v>
      </c>
      <c r="B21" s="9" t="n">
        <v>35</v>
      </c>
      <c r="C21" s="4" t="s">
        <v>7</v>
      </c>
      <c r="D21" s="6" t="s">
        <v>43</v>
      </c>
    </row>
    <row r="22" customFormat="false" ht="15" hidden="false" customHeight="false" outlineLevel="0" collapsed="false">
      <c r="A22" s="4" t="s">
        <v>44</v>
      </c>
      <c r="B22" s="9" t="n">
        <v>60</v>
      </c>
      <c r="C22" s="4" t="s">
        <v>7</v>
      </c>
      <c r="D22" s="6" t="s">
        <v>45</v>
      </c>
    </row>
    <row r="23" customFormat="false" ht="15" hidden="false" customHeight="false" outlineLevel="0" collapsed="false">
      <c r="A23" s="4" t="s">
        <v>46</v>
      </c>
      <c r="B23" s="9" t="n">
        <v>8</v>
      </c>
      <c r="C23" s="4" t="s">
        <v>7</v>
      </c>
      <c r="D23" s="6" t="s">
        <v>47</v>
      </c>
    </row>
    <row r="24" customFormat="false" ht="15" hidden="false" customHeight="false" outlineLevel="0" collapsed="false">
      <c r="A24" s="4" t="s">
        <v>48</v>
      </c>
      <c r="B24" s="11" t="n">
        <v>0.34</v>
      </c>
      <c r="C24" s="4" t="s">
        <v>10</v>
      </c>
      <c r="D24" s="6" t="s">
        <v>49</v>
      </c>
    </row>
    <row r="25" customFormat="false" ht="15" hidden="false" customHeight="false" outlineLevel="0" collapsed="false">
      <c r="A25" s="4" t="s">
        <v>50</v>
      </c>
      <c r="B25" s="9" t="n">
        <v>150</v>
      </c>
      <c r="C25" s="4" t="s">
        <v>7</v>
      </c>
      <c r="D25" s="6" t="s">
        <v>51</v>
      </c>
    </row>
    <row r="26" customFormat="false" ht="15" hidden="false" customHeight="false" outlineLevel="0" collapsed="false">
      <c r="A26" s="4" t="s">
        <v>52</v>
      </c>
      <c r="B26" s="9" t="n">
        <v>50</v>
      </c>
      <c r="C26" s="4" t="s">
        <v>7</v>
      </c>
      <c r="D26" s="6" t="s">
        <v>53</v>
      </c>
    </row>
    <row r="27" customFormat="false" ht="15" hidden="false" customHeight="false" outlineLevel="0" collapsed="false">
      <c r="A27" s="4" t="s">
        <v>54</v>
      </c>
      <c r="B27" s="9" t="n">
        <v>60</v>
      </c>
      <c r="C27" s="4" t="s">
        <v>7</v>
      </c>
      <c r="D27" s="6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52"/>
    <col collapsed="false" customWidth="true" hidden="false" outlineLevel="0" max="3" min="3" style="0" width="16"/>
    <col collapsed="false" customWidth="true" hidden="false" outlineLevel="0" max="4" min="4" style="0" width="60"/>
  </cols>
  <sheetData>
    <row r="1" customFormat="false" ht="17.35" hidden="false" customHeight="false" outlineLevel="0" collapsed="false">
      <c r="A1" s="1" t="s">
        <v>56</v>
      </c>
    </row>
    <row r="3" customFormat="false" ht="15" hidden="false" customHeight="false" outlineLevel="0" collapsed="false">
      <c r="A3" s="3" t="s">
        <v>57</v>
      </c>
      <c r="B3" s="3" t="s">
        <v>58</v>
      </c>
      <c r="C3" s="3" t="s">
        <v>7</v>
      </c>
      <c r="D3" s="3" t="s">
        <v>59</v>
      </c>
    </row>
    <row r="4" customFormat="false" ht="15" hidden="false" customHeight="false" outlineLevel="0" collapsed="false">
      <c r="A4" s="4" t="s">
        <v>60</v>
      </c>
      <c r="B4" s="4" t="s">
        <v>6</v>
      </c>
      <c r="C4" s="12" t="n">
        <f aca="false">Inputs!$B$5</f>
        <v>100000</v>
      </c>
      <c r="D4" s="4" t="s">
        <v>2</v>
      </c>
    </row>
    <row r="5" customFormat="false" ht="15" hidden="false" customHeight="false" outlineLevel="0" collapsed="false">
      <c r="A5" s="4" t="s">
        <v>61</v>
      </c>
      <c r="B5" s="4" t="s">
        <v>62</v>
      </c>
      <c r="C5" s="12" t="n">
        <f aca="false">C4*Inputs!$B$6</f>
        <v>40000</v>
      </c>
      <c r="D5" s="4" t="s">
        <v>63</v>
      </c>
    </row>
    <row r="6" customFormat="false" ht="15" hidden="false" customHeight="false" outlineLevel="0" collapsed="false">
      <c r="A6" s="4" t="s">
        <v>64</v>
      </c>
      <c r="B6" s="4" t="s">
        <v>65</v>
      </c>
      <c r="C6" s="12" t="n">
        <f aca="false">C4-C5</f>
        <v>60000</v>
      </c>
      <c r="D6" s="4" t="s">
        <v>66</v>
      </c>
    </row>
    <row r="7" customFormat="false" ht="15" hidden="false" customHeight="false" outlineLevel="0" collapsed="false">
      <c r="A7" s="4" t="s">
        <v>67</v>
      </c>
      <c r="B7" s="4" t="s">
        <v>68</v>
      </c>
      <c r="C7" s="12" t="n">
        <f aca="false">C6*Inputs!$B$7</f>
        <v>20000</v>
      </c>
      <c r="D7" s="4" t="s">
        <v>69</v>
      </c>
    </row>
    <row r="8" customFormat="false" ht="15" hidden="false" customHeight="false" outlineLevel="0" collapsed="false">
      <c r="A8" s="4" t="s">
        <v>70</v>
      </c>
      <c r="B8" s="4" t="s">
        <v>71</v>
      </c>
      <c r="C8" s="12" t="n">
        <f aca="false">C4*Inputs!$B$8</f>
        <v>120000</v>
      </c>
      <c r="D8" s="4" t="s">
        <v>72</v>
      </c>
    </row>
    <row r="9" customFormat="false" ht="15" hidden="false" customHeight="false" outlineLevel="0" collapsed="false">
      <c r="A9" s="4" t="s">
        <v>73</v>
      </c>
      <c r="B9" s="4" t="s">
        <v>74</v>
      </c>
      <c r="C9" s="12" t="n">
        <f aca="false">C8*Inputs!$B$9</f>
        <v>12000</v>
      </c>
      <c r="D9" s="4" t="s">
        <v>75</v>
      </c>
    </row>
    <row r="10" customFormat="false" ht="15" hidden="false" customHeight="false" outlineLevel="0" collapsed="false">
      <c r="A10" s="4" t="s">
        <v>76</v>
      </c>
      <c r="B10" s="13" t="s">
        <v>77</v>
      </c>
      <c r="C10" s="14" t="n">
        <f aca="false">C6+C7+C9</f>
        <v>92000</v>
      </c>
      <c r="D10" s="4" t="s">
        <v>78</v>
      </c>
    </row>
    <row r="11" customFormat="false" ht="15" hidden="false" customHeight="false" outlineLevel="0" collapsed="false">
      <c r="A11" s="4" t="s">
        <v>79</v>
      </c>
      <c r="B11" s="4" t="s">
        <v>80</v>
      </c>
      <c r="C11" s="12" t="n">
        <f aca="false">C4*Inputs!$B$10</f>
        <v>33333.3333333333</v>
      </c>
      <c r="D11" s="4" t="s">
        <v>81</v>
      </c>
    </row>
    <row r="12" customFormat="false" ht="15" hidden="false" customHeight="false" outlineLevel="0" collapsed="false">
      <c r="A12" s="4" t="s">
        <v>82</v>
      </c>
      <c r="B12" s="4" t="s">
        <v>83</v>
      </c>
      <c r="C12" s="12" t="n">
        <f aca="false">C6-C11</f>
        <v>26666.6666666667</v>
      </c>
      <c r="D12" s="4" t="s">
        <v>84</v>
      </c>
    </row>
    <row r="13" customFormat="false" ht="15" hidden="false" customHeight="false" outlineLevel="0" collapsed="false">
      <c r="A13" s="4" t="s">
        <v>85</v>
      </c>
      <c r="B13" s="4" t="s">
        <v>86</v>
      </c>
      <c r="C13" s="12" t="n">
        <f aca="false">C7</f>
        <v>20000</v>
      </c>
      <c r="D13" s="4" t="s">
        <v>87</v>
      </c>
    </row>
    <row r="14" customFormat="false" ht="15" hidden="false" customHeight="false" outlineLevel="0" collapsed="false">
      <c r="A14" s="4" t="s">
        <v>88</v>
      </c>
      <c r="B14" s="4" t="s">
        <v>89</v>
      </c>
      <c r="C14" s="12" t="n">
        <f aca="false">C9</f>
        <v>12000</v>
      </c>
      <c r="D14" s="4" t="s">
        <v>73</v>
      </c>
    </row>
    <row r="15" customFormat="false" ht="15" hidden="false" customHeight="false" outlineLevel="0" collapsed="false">
      <c r="A15" s="4" t="s">
        <v>90</v>
      </c>
      <c r="B15" s="13" t="s">
        <v>91</v>
      </c>
      <c r="C15" s="14" t="n">
        <f aca="false">C12+C13+C14</f>
        <v>58666.6666666667</v>
      </c>
      <c r="D15" s="4" t="s">
        <v>92</v>
      </c>
    </row>
    <row r="16" customFormat="false" ht="15" hidden="false" customHeight="false" outlineLevel="0" collapsed="false">
      <c r="A16" s="4" t="s">
        <v>93</v>
      </c>
      <c r="B16" s="4" t="s">
        <v>94</v>
      </c>
      <c r="C16" s="15" t="n">
        <f aca="false">IF(C10=0,0,C15/C10)</f>
        <v>0.63768115942029</v>
      </c>
      <c r="D16" s="4" t="s">
        <v>95</v>
      </c>
    </row>
    <row r="17" customFormat="false" ht="15" hidden="false" customHeight="false" outlineLevel="0" collapsed="false">
      <c r="A17" s="4" t="s">
        <v>96</v>
      </c>
      <c r="B17" s="4" t="s">
        <v>97</v>
      </c>
      <c r="C17" s="15" t="n">
        <f aca="false">IF(C10=0,0,C11/C10)</f>
        <v>0.36231884057971</v>
      </c>
      <c r="D17" s="4" t="s">
        <v>98</v>
      </c>
    </row>
    <row r="18" customFormat="false" ht="15" hidden="false" customHeight="false" outlineLevel="0" collapsed="false">
      <c r="A18" s="4" t="s">
        <v>99</v>
      </c>
      <c r="B18" s="4" t="s">
        <v>100</v>
      </c>
      <c r="C18" s="12" t="n">
        <f aca="false">IF(Inputs!$B$11=0,0,C8/Inputs!$B$11)</f>
        <v>369.230769230769</v>
      </c>
      <c r="D18" s="4" t="s">
        <v>101</v>
      </c>
    </row>
    <row r="21" customFormat="false" ht="15" hidden="false" customHeight="false" outlineLevel="0" collapsed="false">
      <c r="B21" s="2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4"/>
    <col collapsed="false" customWidth="true" hidden="false" outlineLevel="0" max="3" min="3" style="0" width="10"/>
    <col collapsed="false" customWidth="true" hidden="false" outlineLevel="0" max="4" min="4" style="0" width="14"/>
    <col collapsed="false" customWidth="true" hidden="false" outlineLevel="0" max="5" min="5" style="0" width="52"/>
  </cols>
  <sheetData>
    <row r="1" customFormat="false" ht="17.35" hidden="false" customHeight="false" outlineLevel="0" collapsed="false">
      <c r="A1" s="1" t="s">
        <v>103</v>
      </c>
    </row>
    <row r="2" customFormat="false" ht="15" hidden="false" customHeight="false" outlineLevel="0" collapsed="false">
      <c r="A2" s="0" t="s">
        <v>104</v>
      </c>
      <c r="B2" s="16" t="n">
        <f aca="false">'Space Equation'!C11</f>
        <v>33333.3333333333</v>
      </c>
    </row>
    <row r="4" customFormat="false" ht="26.85" hidden="false" customHeight="false" outlineLevel="0" collapsed="false">
      <c r="A4" s="3" t="s">
        <v>105</v>
      </c>
      <c r="B4" s="3" t="s">
        <v>106</v>
      </c>
      <c r="C4" s="3" t="s">
        <v>107</v>
      </c>
      <c r="D4" s="3" t="s">
        <v>108</v>
      </c>
      <c r="E4" s="3" t="s">
        <v>109</v>
      </c>
    </row>
    <row r="5" customFormat="false" ht="15" hidden="false" customHeight="false" outlineLevel="0" collapsed="false">
      <c r="A5" s="4" t="s">
        <v>110</v>
      </c>
      <c r="B5" s="9" t="n">
        <v>12000</v>
      </c>
      <c r="C5" s="9" t="n">
        <v>1</v>
      </c>
      <c r="D5" s="12" t="n">
        <f aca="false">B5*C5</f>
        <v>12000</v>
      </c>
      <c r="E5" s="4" t="s">
        <v>111</v>
      </c>
    </row>
    <row r="6" customFormat="false" ht="15" hidden="false" customHeight="false" outlineLevel="0" collapsed="false">
      <c r="A6" s="4" t="s">
        <v>112</v>
      </c>
      <c r="B6" s="9" t="n">
        <v>10000</v>
      </c>
      <c r="C6" s="9" t="n">
        <v>1</v>
      </c>
      <c r="D6" s="12" t="n">
        <f aca="false">B6*C6</f>
        <v>10000</v>
      </c>
      <c r="E6" s="4" t="s">
        <v>113</v>
      </c>
    </row>
    <row r="7" customFormat="false" ht="15" hidden="false" customHeight="false" outlineLevel="0" collapsed="false">
      <c r="A7" s="4" t="s">
        <v>114</v>
      </c>
      <c r="B7" s="9" t="n">
        <v>2800</v>
      </c>
      <c r="C7" s="9" t="n">
        <v>1</v>
      </c>
      <c r="D7" s="12" t="n">
        <f aca="false">B7*C7</f>
        <v>2800</v>
      </c>
      <c r="E7" s="4" t="s">
        <v>115</v>
      </c>
    </row>
    <row r="8" customFormat="false" ht="15" hidden="false" customHeight="false" outlineLevel="0" collapsed="false">
      <c r="A8" s="4" t="s">
        <v>116</v>
      </c>
      <c r="B8" s="9" t="n">
        <v>2400</v>
      </c>
      <c r="C8" s="9" t="n">
        <v>1</v>
      </c>
      <c r="D8" s="12" t="n">
        <f aca="false">B8*C8</f>
        <v>2400</v>
      </c>
      <c r="E8" s="4" t="s">
        <v>117</v>
      </c>
    </row>
    <row r="9" customFormat="false" ht="15" hidden="false" customHeight="false" outlineLevel="0" collapsed="false">
      <c r="A9" s="4" t="s">
        <v>118</v>
      </c>
      <c r="B9" s="9" t="n">
        <v>2000</v>
      </c>
      <c r="C9" s="9" t="n">
        <v>1</v>
      </c>
      <c r="D9" s="12" t="n">
        <f aca="false">B9*C9</f>
        <v>2000</v>
      </c>
      <c r="E9" s="4" t="s">
        <v>119</v>
      </c>
    </row>
    <row r="10" customFormat="false" ht="15" hidden="false" customHeight="false" outlineLevel="0" collapsed="false">
      <c r="A10" s="4" t="s">
        <v>120</v>
      </c>
      <c r="B10" s="9" t="n">
        <v>1000</v>
      </c>
      <c r="C10" s="9" t="n">
        <v>1</v>
      </c>
      <c r="D10" s="12" t="n">
        <f aca="false">B10*C10</f>
        <v>1000</v>
      </c>
      <c r="E10" s="4" t="s">
        <v>121</v>
      </c>
    </row>
    <row r="11" customFormat="false" ht="15" hidden="false" customHeight="false" outlineLevel="0" collapsed="false">
      <c r="A11" s="4" t="s">
        <v>122</v>
      </c>
      <c r="B11" s="9" t="n">
        <v>300</v>
      </c>
      <c r="C11" s="9" t="n">
        <v>6</v>
      </c>
      <c r="D11" s="12" t="n">
        <f aca="false">B11*C11</f>
        <v>1800</v>
      </c>
      <c r="E11" s="4" t="s">
        <v>123</v>
      </c>
    </row>
    <row r="12" customFormat="false" ht="15" hidden="false" customHeight="false" outlineLevel="0" collapsed="false">
      <c r="A12" s="4" t="s">
        <v>124</v>
      </c>
      <c r="B12" s="9" t="n">
        <v>1333</v>
      </c>
      <c r="C12" s="9" t="n">
        <v>1</v>
      </c>
      <c r="D12" s="12" t="n">
        <f aca="false">B12*C12</f>
        <v>1333</v>
      </c>
      <c r="E12" s="4" t="s">
        <v>125</v>
      </c>
    </row>
    <row r="13" customFormat="false" ht="15" hidden="false" customHeight="false" outlineLevel="0" collapsed="false">
      <c r="A13" s="13" t="s">
        <v>126</v>
      </c>
      <c r="C13" s="17" t="n">
        <f aca="false">SUM(C5:C12)</f>
        <v>13</v>
      </c>
      <c r="D13" s="14" t="n">
        <f aca="false">SUM(D5:D12)</f>
        <v>33333</v>
      </c>
      <c r="E13" s="4" t="s">
        <v>127</v>
      </c>
    </row>
    <row r="14" customFormat="false" ht="15" hidden="false" customHeight="false" outlineLevel="0" collapsed="false">
      <c r="A14" s="4" t="s">
        <v>128</v>
      </c>
      <c r="D14" s="12" t="n">
        <f aca="false">$B$2-D13</f>
        <v>0.333333333328483</v>
      </c>
      <c r="E14" s="4" t="s">
        <v>129</v>
      </c>
    </row>
    <row r="15" customFormat="false" ht="15" hidden="false" customHeight="false" outlineLevel="0" collapsed="false">
      <c r="A15" s="4" t="s">
        <v>130</v>
      </c>
      <c r="D15" s="12" t="n">
        <f aca="false">COUNTA(A5:A12)-1</f>
        <v>7</v>
      </c>
    </row>
    <row r="16" customFormat="false" ht="15" hidden="false" customHeight="false" outlineLevel="0" collapsed="false">
      <c r="A16" s="4" t="s">
        <v>131</v>
      </c>
      <c r="D16" s="4" t="str">
        <f aca="false">IF(D14&lt;0,"OVERRUN","OK")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4"/>
    <col collapsed="false" customWidth="true" hidden="false" outlineLevel="0" max="3" min="3" style="0" width="14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46"/>
  </cols>
  <sheetData>
    <row r="1" customFormat="false" ht="17.35" hidden="false" customHeight="false" outlineLevel="0" collapsed="false">
      <c r="A1" s="1" t="s">
        <v>132</v>
      </c>
    </row>
    <row r="2" customFormat="false" ht="15" hidden="false" customHeight="false" outlineLevel="0" collapsed="false">
      <c r="A2" s="0" t="s">
        <v>133</v>
      </c>
      <c r="B2" s="16" t="n">
        <f aca="false">Inputs!$B$12</f>
        <v>1001</v>
      </c>
    </row>
    <row r="4" customFormat="false" ht="26.85" hidden="false" customHeight="false" outlineLevel="0" collapsed="false">
      <c r="A4" s="3" t="s">
        <v>134</v>
      </c>
      <c r="B4" s="3" t="s">
        <v>135</v>
      </c>
      <c r="C4" s="3" t="s">
        <v>136</v>
      </c>
      <c r="D4" s="3" t="s">
        <v>106</v>
      </c>
      <c r="E4" s="3" t="s">
        <v>107</v>
      </c>
      <c r="F4" s="3" t="s">
        <v>108</v>
      </c>
      <c r="G4" s="3" t="s">
        <v>137</v>
      </c>
      <c r="H4" s="3" t="s">
        <v>109</v>
      </c>
    </row>
    <row r="5" customFormat="false" ht="15" hidden="false" customHeight="false" outlineLevel="0" collapsed="false">
      <c r="A5" s="4" t="s">
        <v>138</v>
      </c>
      <c r="B5" s="4" t="s">
        <v>139</v>
      </c>
      <c r="C5" s="4" t="s">
        <v>140</v>
      </c>
      <c r="D5" s="18" t="n">
        <f aca="false">Inputs!$B$16</f>
        <v>40</v>
      </c>
      <c r="E5" s="9" t="n">
        <v>300</v>
      </c>
      <c r="F5" s="12" t="n">
        <f aca="false">D5*E5</f>
        <v>12000</v>
      </c>
      <c r="G5" s="12" t="n">
        <f aca="false">E5*1</f>
        <v>300</v>
      </c>
      <c r="H5" s="4" t="s">
        <v>141</v>
      </c>
    </row>
    <row r="6" customFormat="false" ht="15" hidden="false" customHeight="false" outlineLevel="0" collapsed="false">
      <c r="A6" s="4" t="s">
        <v>138</v>
      </c>
      <c r="B6" s="4" t="s">
        <v>142</v>
      </c>
      <c r="C6" s="4" t="s">
        <v>140</v>
      </c>
      <c r="D6" s="18" t="n">
        <f aca="false">Inputs!$B$17</f>
        <v>120</v>
      </c>
      <c r="E6" s="9" t="n">
        <v>30</v>
      </c>
      <c r="F6" s="12" t="n">
        <f aca="false">D6*E6</f>
        <v>3600</v>
      </c>
      <c r="G6" s="12" t="n">
        <f aca="false">E6*1</f>
        <v>30</v>
      </c>
      <c r="H6" s="4" t="s">
        <v>143</v>
      </c>
    </row>
    <row r="7" customFormat="false" ht="15" hidden="false" customHeight="false" outlineLevel="0" collapsed="false">
      <c r="A7" s="4" t="s">
        <v>138</v>
      </c>
      <c r="B7" s="4" t="s">
        <v>144</v>
      </c>
      <c r="C7" s="4" t="s">
        <v>145</v>
      </c>
      <c r="D7" s="9" t="n">
        <v>1400</v>
      </c>
      <c r="E7" s="9" t="n">
        <v>1</v>
      </c>
      <c r="F7" s="12" t="n">
        <f aca="false">D7*E7</f>
        <v>1400</v>
      </c>
      <c r="G7" s="12" t="n">
        <f aca="false">E7*0</f>
        <v>0</v>
      </c>
      <c r="H7" s="4" t="s">
        <v>146</v>
      </c>
    </row>
    <row r="8" customFormat="false" ht="15" hidden="false" customHeight="false" outlineLevel="0" collapsed="false">
      <c r="A8" s="4" t="s">
        <v>138</v>
      </c>
      <c r="B8" s="4" t="s">
        <v>147</v>
      </c>
      <c r="C8" s="4" t="s">
        <v>148</v>
      </c>
      <c r="D8" s="18" t="n">
        <f aca="false">Inputs!$B$18</f>
        <v>120</v>
      </c>
      <c r="E8" s="9" t="n">
        <v>100</v>
      </c>
      <c r="F8" s="12" t="n">
        <f aca="false">D8*E8</f>
        <v>12000</v>
      </c>
      <c r="G8" s="12" t="n">
        <f aca="false">E8*1</f>
        <v>100</v>
      </c>
      <c r="H8" s="4" t="s">
        <v>149</v>
      </c>
    </row>
    <row r="9" customFormat="false" ht="15" hidden="false" customHeight="false" outlineLevel="0" collapsed="false">
      <c r="A9" s="4" t="s">
        <v>150</v>
      </c>
      <c r="B9" s="4" t="s">
        <v>151</v>
      </c>
      <c r="C9" s="4" t="s">
        <v>152</v>
      </c>
      <c r="D9" s="18" t="n">
        <f aca="false">Inputs!$B$19</f>
        <v>400</v>
      </c>
      <c r="E9" s="9" t="n">
        <v>12</v>
      </c>
      <c r="F9" s="12" t="n">
        <f aca="false">D9*E9</f>
        <v>4800</v>
      </c>
      <c r="G9" s="12" t="n">
        <f aca="false">E9*1</f>
        <v>12</v>
      </c>
      <c r="H9" s="4" t="s">
        <v>153</v>
      </c>
    </row>
    <row r="10" customFormat="false" ht="15" hidden="false" customHeight="false" outlineLevel="0" collapsed="false">
      <c r="A10" s="4" t="s">
        <v>150</v>
      </c>
      <c r="B10" s="4" t="s">
        <v>154</v>
      </c>
      <c r="C10" s="4" t="s">
        <v>152</v>
      </c>
      <c r="D10" s="18" t="n">
        <f aca="false">Inputs!$B$20</f>
        <v>120</v>
      </c>
      <c r="E10" s="9" t="n">
        <v>36</v>
      </c>
      <c r="F10" s="12" t="n">
        <f aca="false">D10*E10</f>
        <v>4320</v>
      </c>
      <c r="G10" s="12" t="n">
        <f aca="false">E10*1</f>
        <v>36</v>
      </c>
      <c r="H10" s="4" t="s">
        <v>155</v>
      </c>
    </row>
    <row r="11" customFormat="false" ht="15" hidden="false" customHeight="false" outlineLevel="0" collapsed="false">
      <c r="A11" s="4" t="s">
        <v>150</v>
      </c>
      <c r="B11" s="4" t="s">
        <v>156</v>
      </c>
      <c r="C11" s="4" t="s">
        <v>152</v>
      </c>
      <c r="D11" s="18" t="n">
        <f aca="false">Inputs!$B$21</f>
        <v>35</v>
      </c>
      <c r="E11" s="9" t="n">
        <v>51</v>
      </c>
      <c r="F11" s="12" t="n">
        <f aca="false">D11*E11</f>
        <v>1785</v>
      </c>
      <c r="G11" s="12" t="n">
        <f aca="false">E11*1</f>
        <v>51</v>
      </c>
      <c r="H11" s="4" t="s">
        <v>157</v>
      </c>
    </row>
    <row r="12" customFormat="false" ht="15" hidden="false" customHeight="false" outlineLevel="0" collapsed="false">
      <c r="A12" s="4" t="s">
        <v>150</v>
      </c>
      <c r="B12" s="4" t="s">
        <v>158</v>
      </c>
      <c r="C12" s="4" t="s">
        <v>152</v>
      </c>
      <c r="D12" s="18" t="n">
        <f aca="false">Inputs!$B$22</f>
        <v>60</v>
      </c>
      <c r="E12" s="9" t="n">
        <v>25</v>
      </c>
      <c r="F12" s="12" t="n">
        <f aca="false">D12*E12</f>
        <v>1500</v>
      </c>
      <c r="G12" s="12" t="n">
        <f aca="false">E12*1</f>
        <v>25</v>
      </c>
      <c r="H12" s="4" t="s">
        <v>159</v>
      </c>
    </row>
    <row r="13" customFormat="false" ht="15" hidden="false" customHeight="false" outlineLevel="0" collapsed="false">
      <c r="A13" s="4" t="s">
        <v>150</v>
      </c>
      <c r="B13" s="4" t="s">
        <v>160</v>
      </c>
      <c r="C13" s="4" t="s">
        <v>152</v>
      </c>
      <c r="D13" s="9" t="n">
        <v>130</v>
      </c>
      <c r="E13" s="9" t="n">
        <v>1</v>
      </c>
      <c r="F13" s="12" t="n">
        <f aca="false">D13*E13</f>
        <v>130</v>
      </c>
      <c r="G13" s="12" t="n">
        <f aca="false">E13*0</f>
        <v>0</v>
      </c>
      <c r="H13" s="4" t="s">
        <v>161</v>
      </c>
    </row>
    <row r="14" customFormat="false" ht="15" hidden="false" customHeight="false" outlineLevel="0" collapsed="false">
      <c r="A14" s="4" t="s">
        <v>162</v>
      </c>
      <c r="B14" s="4" t="s">
        <v>163</v>
      </c>
      <c r="C14" s="4" t="s">
        <v>145</v>
      </c>
      <c r="D14" s="9" t="n">
        <v>2800</v>
      </c>
      <c r="E14" s="9" t="n">
        <v>1</v>
      </c>
      <c r="F14" s="12" t="n">
        <f aca="false">D14*E14</f>
        <v>2800</v>
      </c>
      <c r="G14" s="12" t="n">
        <f aca="false">E14*1</f>
        <v>1</v>
      </c>
      <c r="H14" s="4" t="s">
        <v>164</v>
      </c>
    </row>
    <row r="15" customFormat="false" ht="15" hidden="false" customHeight="false" outlineLevel="0" collapsed="false">
      <c r="A15" s="4" t="s">
        <v>162</v>
      </c>
      <c r="B15" s="4" t="s">
        <v>165</v>
      </c>
      <c r="C15" s="4" t="s">
        <v>140</v>
      </c>
      <c r="D15" s="18" t="n">
        <f aca="false">Inputs!$B$25</f>
        <v>150</v>
      </c>
      <c r="E15" s="9" t="n">
        <v>4</v>
      </c>
      <c r="F15" s="12" t="n">
        <f aca="false">D15*E15</f>
        <v>600</v>
      </c>
      <c r="G15" s="12" t="n">
        <f aca="false">E15*1</f>
        <v>4</v>
      </c>
      <c r="H15" s="4" t="s">
        <v>166</v>
      </c>
    </row>
    <row r="16" customFormat="false" ht="15" hidden="false" customHeight="false" outlineLevel="0" collapsed="false">
      <c r="A16" s="4" t="s">
        <v>162</v>
      </c>
      <c r="B16" s="4" t="s">
        <v>167</v>
      </c>
      <c r="C16" s="4" t="s">
        <v>140</v>
      </c>
      <c r="D16" s="18" t="n">
        <f aca="false">Inputs!$B$26</f>
        <v>50</v>
      </c>
      <c r="E16" s="9" t="n">
        <v>8</v>
      </c>
      <c r="F16" s="12" t="n">
        <f aca="false">D16*E16</f>
        <v>400</v>
      </c>
      <c r="G16" s="12" t="n">
        <f aca="false">E16*1</f>
        <v>8</v>
      </c>
      <c r="H16" s="4" t="s">
        <v>168</v>
      </c>
    </row>
    <row r="17" customFormat="false" ht="15" hidden="false" customHeight="false" outlineLevel="0" collapsed="false">
      <c r="A17" s="4" t="s">
        <v>162</v>
      </c>
      <c r="B17" s="4" t="s">
        <v>169</v>
      </c>
      <c r="C17" s="4" t="s">
        <v>145</v>
      </c>
      <c r="D17" s="9" t="n">
        <v>700</v>
      </c>
      <c r="E17" s="9" t="n">
        <v>1</v>
      </c>
      <c r="F17" s="12" t="n">
        <f aca="false">D17*E17</f>
        <v>700</v>
      </c>
      <c r="G17" s="12" t="n">
        <f aca="false">E17*0</f>
        <v>0</v>
      </c>
      <c r="H17" s="4" t="s">
        <v>170</v>
      </c>
    </row>
    <row r="18" customFormat="false" ht="15" hidden="false" customHeight="false" outlineLevel="0" collapsed="false">
      <c r="A18" s="4" t="s">
        <v>171</v>
      </c>
      <c r="B18" s="4" t="s">
        <v>172</v>
      </c>
      <c r="C18" s="4" t="s">
        <v>152</v>
      </c>
      <c r="D18" s="18" t="n">
        <f aca="false">Inputs!$B$27</f>
        <v>60</v>
      </c>
      <c r="E18" s="9" t="n">
        <v>14</v>
      </c>
      <c r="F18" s="12" t="n">
        <f aca="false">D18*E18</f>
        <v>840</v>
      </c>
      <c r="G18" s="12" t="n">
        <f aca="false">E18*1</f>
        <v>14</v>
      </c>
      <c r="H18" s="4" t="s">
        <v>173</v>
      </c>
    </row>
    <row r="19" customFormat="false" ht="15" hidden="false" customHeight="false" outlineLevel="0" collapsed="false">
      <c r="A19" s="4" t="s">
        <v>171</v>
      </c>
      <c r="B19" s="4" t="s">
        <v>174</v>
      </c>
      <c r="C19" s="4" t="s">
        <v>152</v>
      </c>
      <c r="D19" s="9" t="n">
        <v>2160</v>
      </c>
      <c r="E19" s="9" t="n">
        <v>1</v>
      </c>
      <c r="F19" s="12" t="n">
        <f aca="false">D19*E19</f>
        <v>2160</v>
      </c>
      <c r="G19" s="12" t="n">
        <f aca="false">E19*0</f>
        <v>0</v>
      </c>
      <c r="H19" s="4" t="s">
        <v>175</v>
      </c>
    </row>
    <row r="20" customFormat="false" ht="15" hidden="false" customHeight="false" outlineLevel="0" collapsed="false">
      <c r="A20" s="4" t="s">
        <v>176</v>
      </c>
      <c r="B20" s="4" t="s">
        <v>177</v>
      </c>
      <c r="C20" s="4" t="s">
        <v>152</v>
      </c>
      <c r="D20" s="18" t="n">
        <f aca="false">Inputs!$B$23</f>
        <v>8</v>
      </c>
      <c r="E20" s="9" t="n">
        <v>420</v>
      </c>
      <c r="F20" s="12" t="n">
        <f aca="false">D20*E20</f>
        <v>3360</v>
      </c>
      <c r="G20" s="12" t="n">
        <f aca="false">E20*1</f>
        <v>420</v>
      </c>
      <c r="H20" s="4" t="s">
        <v>178</v>
      </c>
    </row>
    <row r="21" customFormat="false" ht="15" hidden="false" customHeight="false" outlineLevel="0" collapsed="false">
      <c r="A21" s="4" t="s">
        <v>176</v>
      </c>
      <c r="B21" s="4" t="s">
        <v>179</v>
      </c>
      <c r="C21" s="4" t="s">
        <v>152</v>
      </c>
      <c r="D21" s="18" t="n">
        <f aca="false">F20*Inputs!$B$24</f>
        <v>1142.4</v>
      </c>
      <c r="E21" s="9" t="n">
        <v>1</v>
      </c>
      <c r="F21" s="12" t="n">
        <f aca="false">D21*E21</f>
        <v>1142.4</v>
      </c>
      <c r="G21" s="12" t="n">
        <f aca="false">E21*0</f>
        <v>0</v>
      </c>
      <c r="H21" s="4" t="s">
        <v>180</v>
      </c>
    </row>
    <row r="22" customFormat="false" ht="15" hidden="false" customHeight="false" outlineLevel="0" collapsed="false">
      <c r="A22" s="4" t="s">
        <v>181</v>
      </c>
      <c r="B22" s="4" t="s">
        <v>182</v>
      </c>
      <c r="C22" s="4" t="s">
        <v>140</v>
      </c>
      <c r="D22" s="18" t="n">
        <f aca="false">Inputs!$B$14</f>
        <v>1.6</v>
      </c>
      <c r="E22" s="18" t="n">
        <f aca="false">Inputs!$B$13</f>
        <v>1001</v>
      </c>
      <c r="F22" s="12" t="n">
        <f aca="false">D22*E22</f>
        <v>1601.6</v>
      </c>
      <c r="G22" s="12" t="n">
        <f aca="false">E22*0</f>
        <v>0</v>
      </c>
      <c r="H22" s="4" t="s">
        <v>183</v>
      </c>
    </row>
    <row r="23" customFormat="false" ht="15" hidden="false" customHeight="false" outlineLevel="0" collapsed="false">
      <c r="A23" s="4" t="s">
        <v>181</v>
      </c>
      <c r="B23" s="4" t="s">
        <v>184</v>
      </c>
      <c r="C23" s="4" t="s">
        <v>140</v>
      </c>
      <c r="D23" s="18" t="n">
        <f aca="false">Inputs!$B$15</f>
        <v>700</v>
      </c>
      <c r="E23" s="9" t="n">
        <v>1</v>
      </c>
      <c r="F23" s="12" t="n">
        <f aca="false">D23*E23</f>
        <v>700</v>
      </c>
      <c r="G23" s="12" t="n">
        <f aca="false">E23*0</f>
        <v>0</v>
      </c>
      <c r="H23" s="4" t="s">
        <v>185</v>
      </c>
    </row>
    <row r="24" customFormat="false" ht="15" hidden="false" customHeight="false" outlineLevel="0" collapsed="false">
      <c r="A24" s="4" t="s">
        <v>186</v>
      </c>
      <c r="B24" s="4" t="s">
        <v>187</v>
      </c>
      <c r="C24" s="4" t="s">
        <v>145</v>
      </c>
      <c r="D24" s="9" t="n">
        <v>1200</v>
      </c>
      <c r="E24" s="9" t="n">
        <v>1</v>
      </c>
      <c r="F24" s="12" t="n">
        <f aca="false">D24*E24</f>
        <v>1200</v>
      </c>
      <c r="G24" s="12" t="n">
        <f aca="false">E24*0</f>
        <v>0</v>
      </c>
      <c r="H24" s="4" t="s">
        <v>188</v>
      </c>
    </row>
    <row r="25" customFormat="false" ht="15" hidden="false" customHeight="false" outlineLevel="0" collapsed="false">
      <c r="A25" s="4" t="s">
        <v>186</v>
      </c>
      <c r="B25" s="4" t="s">
        <v>189</v>
      </c>
      <c r="C25" s="4" t="s">
        <v>145</v>
      </c>
      <c r="D25" s="9" t="n">
        <v>600</v>
      </c>
      <c r="E25" s="9" t="n">
        <v>1</v>
      </c>
      <c r="F25" s="12" t="n">
        <f aca="false">D25*E25</f>
        <v>600</v>
      </c>
      <c r="G25" s="12" t="n">
        <f aca="false">E25*0</f>
        <v>0</v>
      </c>
      <c r="H25" s="4" t="s">
        <v>190</v>
      </c>
    </row>
    <row r="26" customFormat="false" ht="15" hidden="false" customHeight="false" outlineLevel="0" collapsed="false">
      <c r="B26" s="13" t="s">
        <v>191</v>
      </c>
      <c r="F26" s="14" t="n">
        <f aca="false">SUM(F5:F25)</f>
        <v>57639</v>
      </c>
      <c r="G26" s="14" t="n">
        <f aca="false">SUM(G5:G25)</f>
        <v>1001</v>
      </c>
    </row>
    <row r="28" customFormat="false" ht="15" hidden="false" customHeight="false" outlineLevel="0" collapsed="false">
      <c r="B28" s="13" t="s">
        <v>192</v>
      </c>
    </row>
    <row r="29" customFormat="false" ht="15" hidden="false" customHeight="false" outlineLevel="0" collapsed="false">
      <c r="A29" s="3"/>
      <c r="B29" s="3" t="s">
        <v>136</v>
      </c>
      <c r="C29" s="3"/>
      <c r="D29" s="3" t="s">
        <v>193</v>
      </c>
      <c r="E29" s="3"/>
      <c r="F29" s="3" t="s">
        <v>194</v>
      </c>
      <c r="G29" s="3" t="s">
        <v>195</v>
      </c>
      <c r="H29" s="3" t="s">
        <v>196</v>
      </c>
    </row>
    <row r="30" customFormat="false" ht="15" hidden="false" customHeight="false" outlineLevel="0" collapsed="false">
      <c r="B30" s="4" t="s">
        <v>140</v>
      </c>
      <c r="D30" s="18" t="n">
        <f aca="false">'Space Equation'!C12</f>
        <v>26666.6666666667</v>
      </c>
      <c r="F30" s="12" t="n">
        <f aca="false">SUMIF($C$5:$C$25,B30,$F$5:$F$25)</f>
        <v>18901.6</v>
      </c>
      <c r="G30" s="12" t="n">
        <f aca="false">D30-F30</f>
        <v>7765.06666666667</v>
      </c>
      <c r="H30" s="4" t="str">
        <f aca="false">IF(G30&lt;0,"OVERRUN — reduce density/count","OK")</f>
        <v>OK</v>
      </c>
    </row>
    <row r="31" customFormat="false" ht="15" hidden="false" customHeight="false" outlineLevel="0" collapsed="false">
      <c r="B31" s="4" t="s">
        <v>68</v>
      </c>
      <c r="D31" s="18" t="n">
        <f aca="false">'Space Equation'!C13</f>
        <v>20000</v>
      </c>
      <c r="F31" s="12" t="n">
        <f aca="false">SUMIF($C$5:$C$25,B31,$F$5:$F$25)</f>
        <v>0</v>
      </c>
      <c r="G31" s="12" t="n">
        <f aca="false">D31-F31</f>
        <v>20000</v>
      </c>
      <c r="H31" s="4" t="str">
        <f aca="false">IF(G31&lt;0,"OVERRUN — reduce density/count","OK")</f>
        <v>OK</v>
      </c>
    </row>
    <row r="32" customFormat="false" ht="15" hidden="false" customHeight="false" outlineLevel="0" collapsed="false">
      <c r="B32" s="4" t="s">
        <v>197</v>
      </c>
      <c r="D32" s="18" t="n">
        <f aca="false">'Space Equation'!C14</f>
        <v>12000</v>
      </c>
      <c r="F32" s="12" t="n">
        <f aca="false">SUMIF($C$5:$C$25,B32,$F$5:$F$25)</f>
        <v>0</v>
      </c>
      <c r="G32" s="12" t="n">
        <f aca="false">D32-F32</f>
        <v>12000</v>
      </c>
      <c r="H32" s="4" t="str">
        <f aca="false">IF(G32&lt;0,"OVERRUN — reduce density/count","OK")</f>
        <v>OK</v>
      </c>
    </row>
    <row r="33" customFormat="false" ht="15" hidden="false" customHeight="false" outlineLevel="0" collapsed="false">
      <c r="B33" s="13" t="s">
        <v>198</v>
      </c>
      <c r="D33" s="19" t="n">
        <f aca="false">'Space Equation'!C15</f>
        <v>58666.6666666667</v>
      </c>
      <c r="F33" s="17" t="n">
        <f aca="false">F26</f>
        <v>57639</v>
      </c>
      <c r="G33" s="17" t="n">
        <f aca="false">D33-F33</f>
        <v>1027.66666666667</v>
      </c>
      <c r="H33" s="4" t="str">
        <f aca="false">IF(G33&lt;0,"OVERRUN","OK")</f>
        <v>OK</v>
      </c>
    </row>
    <row r="35" customFormat="false" ht="15" hidden="false" customHeight="false" outlineLevel="0" collapsed="false">
      <c r="B35" s="13" t="s">
        <v>199</v>
      </c>
    </row>
    <row r="36" customFormat="false" ht="15" hidden="false" customHeight="false" outlineLevel="0" collapsed="false">
      <c r="B36" s="4" t="s">
        <v>200</v>
      </c>
      <c r="D36" s="18" t="n">
        <f aca="false">Inputs!$B$12</f>
        <v>1001</v>
      </c>
    </row>
    <row r="37" customFormat="false" ht="15" hidden="false" customHeight="false" outlineLevel="0" collapsed="false">
      <c r="B37" s="4" t="s">
        <v>201</v>
      </c>
      <c r="D37" s="12" t="n">
        <f aca="false">G26</f>
        <v>1001</v>
      </c>
    </row>
    <row r="38" customFormat="false" ht="15" hidden="false" customHeight="false" outlineLevel="0" collapsed="false">
      <c r="B38" s="4" t="s">
        <v>195</v>
      </c>
      <c r="D38" s="12" t="n">
        <f aca="false">D37-D36</f>
        <v>0</v>
      </c>
      <c r="H38" s="4" t="str">
        <f aca="false">IF(D38&gt;=0,"TARGET MET","SHORT")</f>
        <v>TARGET MET</v>
      </c>
    </row>
    <row r="39" customFormat="false" ht="15" hidden="false" customHeight="false" outlineLevel="0" collapsed="false">
      <c r="B39" s="4" t="s">
        <v>202</v>
      </c>
      <c r="D39" s="12" t="n">
        <f aca="false">G26-G20</f>
        <v>581</v>
      </c>
      <c r="H39" s="4" t="s">
        <v>203</v>
      </c>
    </row>
    <row r="40" customFormat="false" ht="15" hidden="false" customHeight="false" outlineLevel="0" collapsed="false">
      <c r="B40" s="4" t="s">
        <v>204</v>
      </c>
      <c r="D40" s="20" t="n">
        <f aca="false">IF(G26=0,0,F26/G26)</f>
        <v>57.5814185814186</v>
      </c>
    </row>
    <row r="42" customFormat="false" ht="15" hidden="false" customHeight="false" outlineLevel="0" collapsed="false">
      <c r="B42" s="13" t="s">
        <v>205</v>
      </c>
    </row>
    <row r="43" customFormat="false" ht="15" hidden="false" customHeight="false" outlineLevel="0" collapsed="false">
      <c r="A43" s="3" t="s">
        <v>134</v>
      </c>
      <c r="B43" s="3" t="s">
        <v>206</v>
      </c>
      <c r="C43" s="3"/>
      <c r="D43" s="3" t="s">
        <v>207</v>
      </c>
      <c r="E43" s="3"/>
      <c r="F43" s="3" t="s">
        <v>137</v>
      </c>
      <c r="G43" s="3" t="s">
        <v>208</v>
      </c>
      <c r="H43" s="3"/>
    </row>
    <row r="44" customFormat="false" ht="15" hidden="false" customHeight="false" outlineLevel="0" collapsed="false">
      <c r="A44" s="4" t="s">
        <v>138</v>
      </c>
      <c r="B44" s="4" t="s">
        <v>209</v>
      </c>
      <c r="D44" s="12" t="n">
        <f aca="false">SUMIF($A$5:$A$25,A44,$F$5:$F$25)</f>
        <v>29000</v>
      </c>
      <c r="F44" s="12" t="n">
        <f aca="false">SUMIF($A$5:$A$25,A44,$G$5:$G$25)</f>
        <v>430</v>
      </c>
      <c r="G44" s="15" t="n">
        <f aca="false">IF($F$26=0,0,D44/$F$26)</f>
        <v>0.503131560228318</v>
      </c>
    </row>
    <row r="45" customFormat="false" ht="15" hidden="false" customHeight="false" outlineLevel="0" collapsed="false">
      <c r="A45" s="4" t="s">
        <v>150</v>
      </c>
      <c r="B45" s="4" t="s">
        <v>210</v>
      </c>
      <c r="D45" s="12" t="n">
        <f aca="false">SUMIF($A$5:$A$25,A45,$F$5:$F$25)</f>
        <v>12535</v>
      </c>
      <c r="F45" s="12" t="n">
        <f aca="false">SUMIF($A$5:$A$25,A45,$G$5:$G$25)</f>
        <v>124</v>
      </c>
      <c r="G45" s="15" t="n">
        <f aca="false">IF($F$26=0,0,D45/$F$26)</f>
        <v>0.217474279567654</v>
      </c>
    </row>
    <row r="46" customFormat="false" ht="15" hidden="false" customHeight="false" outlineLevel="0" collapsed="false">
      <c r="A46" s="4" t="s">
        <v>162</v>
      </c>
      <c r="B46" s="4" t="s">
        <v>211</v>
      </c>
      <c r="D46" s="12" t="n">
        <f aca="false">SUMIF($A$5:$A$25,A46,$F$5:$F$25)</f>
        <v>4500</v>
      </c>
      <c r="F46" s="12" t="n">
        <f aca="false">SUMIF($A$5:$A$25,A46,$G$5:$G$25)</f>
        <v>13</v>
      </c>
      <c r="G46" s="15" t="n">
        <f aca="false">IF($F$26=0,0,D46/$F$26)</f>
        <v>0.0780721386561183</v>
      </c>
    </row>
    <row r="47" customFormat="false" ht="15" hidden="false" customHeight="false" outlineLevel="0" collapsed="false">
      <c r="A47" s="4" t="s">
        <v>171</v>
      </c>
      <c r="B47" s="4" t="s">
        <v>212</v>
      </c>
      <c r="D47" s="12" t="n">
        <f aca="false">SUMIF($A$5:$A$25,A47,$F$5:$F$25)</f>
        <v>3000</v>
      </c>
      <c r="F47" s="12" t="n">
        <f aca="false">SUMIF($A$5:$A$25,A47,$G$5:$G$25)</f>
        <v>14</v>
      </c>
      <c r="G47" s="15" t="n">
        <f aca="false">IF($F$26=0,0,D47/$F$26)</f>
        <v>0.0520480924374122</v>
      </c>
    </row>
    <row r="48" customFormat="false" ht="15" hidden="false" customHeight="false" outlineLevel="0" collapsed="false">
      <c r="A48" s="4" t="s">
        <v>176</v>
      </c>
      <c r="B48" s="4" t="s">
        <v>213</v>
      </c>
      <c r="D48" s="12" t="n">
        <f aca="false">SUMIF($A$5:$A$25,A48,$F$5:$F$25)</f>
        <v>4502.4</v>
      </c>
      <c r="F48" s="12" t="n">
        <f aca="false">SUMIF($A$5:$A$25,A48,$G$5:$G$25)</f>
        <v>420</v>
      </c>
      <c r="G48" s="15" t="n">
        <f aca="false">IF($F$26=0,0,D48/$F$26)</f>
        <v>0.0781137771300682</v>
      </c>
    </row>
    <row r="49" customFormat="false" ht="15" hidden="false" customHeight="false" outlineLevel="0" collapsed="false">
      <c r="A49" s="4" t="s">
        <v>181</v>
      </c>
      <c r="B49" s="4" t="s">
        <v>214</v>
      </c>
      <c r="D49" s="12" t="n">
        <f aca="false">SUMIF($A$5:$A$25,A49,$F$5:$F$25)</f>
        <v>2301.6</v>
      </c>
      <c r="F49" s="12" t="n">
        <f aca="false">SUMIF($A$5:$A$25,A49,$G$5:$G$25)</f>
        <v>0</v>
      </c>
      <c r="G49" s="15" t="n">
        <f aca="false">IF($F$26=0,0,D49/$F$26)</f>
        <v>0.0399312965179826</v>
      </c>
    </row>
    <row r="50" customFormat="false" ht="15" hidden="false" customHeight="false" outlineLevel="0" collapsed="false">
      <c r="A50" s="4" t="s">
        <v>186</v>
      </c>
      <c r="B50" s="4" t="s">
        <v>215</v>
      </c>
      <c r="D50" s="12" t="n">
        <f aca="false">SUMIF($A$5:$A$25,A50,$F$5:$F$25)</f>
        <v>1800</v>
      </c>
      <c r="F50" s="12" t="n">
        <f aca="false">SUMIF($A$5:$A$25,A50,$G$5:$G$25)</f>
        <v>0</v>
      </c>
      <c r="G50" s="15" t="n">
        <f aca="false">IF($F$26=0,0,D50/$F$26)</f>
        <v>0.0312288554624473</v>
      </c>
    </row>
    <row r="51" customFormat="false" ht="15" hidden="false" customHeight="false" outlineLevel="0" collapsed="false">
      <c r="B51" s="13" t="s">
        <v>191</v>
      </c>
      <c r="D51" s="17" t="n">
        <f aca="false">SUM(D44:D50)</f>
        <v>57639</v>
      </c>
      <c r="F51" s="17" t="n">
        <f aca="false">SUM(F44:F50)</f>
        <v>1001</v>
      </c>
      <c r="G51" s="21" t="n">
        <f aca="false">SUM(G44:G50)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50"/>
  </cols>
  <sheetData>
    <row r="1" customFormat="false" ht="17.35" hidden="false" customHeight="false" outlineLevel="0" collapsed="false">
      <c r="A1" s="1" t="s">
        <v>216</v>
      </c>
    </row>
    <row r="2" customFormat="false" ht="15" hidden="false" customHeight="false" outlineLevel="0" collapsed="false">
      <c r="A2" s="0" t="s">
        <v>217</v>
      </c>
      <c r="B2" s="16" t="n">
        <f aca="false">'Space Equation'!C8</f>
        <v>120000</v>
      </c>
    </row>
    <row r="4" customFormat="false" ht="26.85" hidden="false" customHeight="false" outlineLevel="0" collapsed="false">
      <c r="A4" s="3" t="s">
        <v>218</v>
      </c>
      <c r="B4" s="3" t="s">
        <v>106</v>
      </c>
      <c r="C4" s="3" t="s">
        <v>107</v>
      </c>
      <c r="D4" s="3" t="s">
        <v>108</v>
      </c>
      <c r="E4" s="3" t="s">
        <v>219</v>
      </c>
      <c r="F4" s="3" t="s">
        <v>109</v>
      </c>
    </row>
    <row r="5" customFormat="false" ht="15" hidden="false" customHeight="false" outlineLevel="0" collapsed="false">
      <c r="A5" s="4" t="s">
        <v>220</v>
      </c>
      <c r="B5" s="18" t="n">
        <f aca="false">'Space Equation'!C9</f>
        <v>12000</v>
      </c>
      <c r="C5" s="9" t="n">
        <v>1</v>
      </c>
      <c r="D5" s="12" t="n">
        <f aca="false">B5*C5</f>
        <v>12000</v>
      </c>
      <c r="E5" s="12" t="n">
        <f aca="false">IF(Inputs!$B$11=0,0,D5/Inputs!$B$11)</f>
        <v>36.9230769230769</v>
      </c>
      <c r="F5" s="4" t="s">
        <v>221</v>
      </c>
    </row>
    <row r="6" customFormat="false" ht="15" hidden="false" customHeight="false" outlineLevel="0" collapsed="false">
      <c r="A6" s="4" t="s">
        <v>222</v>
      </c>
      <c r="B6" s="9" t="n">
        <v>4000</v>
      </c>
      <c r="C6" s="9" t="n">
        <v>1</v>
      </c>
      <c r="D6" s="12" t="n">
        <f aca="false">B6*C6</f>
        <v>4000</v>
      </c>
      <c r="E6" s="12" t="n">
        <f aca="false">IF(Inputs!$B$11=0,0,D6/Inputs!$B$11)</f>
        <v>12.3076923076923</v>
      </c>
      <c r="F6" s="4" t="s">
        <v>223</v>
      </c>
    </row>
    <row r="7" customFormat="false" ht="15" hidden="false" customHeight="false" outlineLevel="0" collapsed="false">
      <c r="A7" s="4" t="s">
        <v>224</v>
      </c>
      <c r="B7" s="9" t="n">
        <v>1200</v>
      </c>
      <c r="C7" s="9" t="n">
        <v>1</v>
      </c>
      <c r="D7" s="12" t="n">
        <f aca="false">B7*C7</f>
        <v>1200</v>
      </c>
      <c r="E7" s="12" t="n">
        <f aca="false">IF(Inputs!$B$11=0,0,D7/Inputs!$B$11)</f>
        <v>3.69230769230769</v>
      </c>
      <c r="F7" s="4" t="s">
        <v>225</v>
      </c>
    </row>
    <row r="8" customFormat="false" ht="15" hidden="false" customHeight="false" outlineLevel="0" collapsed="false">
      <c r="A8" s="4" t="s">
        <v>226</v>
      </c>
      <c r="B8" s="9" t="n">
        <v>3000</v>
      </c>
      <c r="C8" s="9" t="n">
        <v>1</v>
      </c>
      <c r="D8" s="12" t="n">
        <f aca="false">B8*C8</f>
        <v>3000</v>
      </c>
      <c r="E8" s="12" t="n">
        <f aca="false">IF(Inputs!$B$11=0,0,D8/Inputs!$B$11)</f>
        <v>9.23076923076923</v>
      </c>
      <c r="F8" s="4" t="s">
        <v>227</v>
      </c>
    </row>
    <row r="9" customFormat="false" ht="15" hidden="false" customHeight="false" outlineLevel="0" collapsed="false">
      <c r="A9" s="4" t="s">
        <v>228</v>
      </c>
      <c r="B9" s="18" t="n">
        <f aca="false">Inputs!$B$11</f>
        <v>325</v>
      </c>
      <c r="C9" s="9" t="n">
        <v>20</v>
      </c>
      <c r="D9" s="12" t="n">
        <f aca="false">B9*C9</f>
        <v>6500</v>
      </c>
      <c r="E9" s="12" t="n">
        <f aca="false">IF(Inputs!$B$11=0,0,D9/Inputs!$B$11)</f>
        <v>20</v>
      </c>
      <c r="F9" s="4" t="s">
        <v>229</v>
      </c>
    </row>
    <row r="10" customFormat="false" ht="15" hidden="false" customHeight="false" outlineLevel="0" collapsed="false">
      <c r="A10" s="4" t="s">
        <v>230</v>
      </c>
      <c r="B10" s="9" t="n">
        <v>600</v>
      </c>
      <c r="C10" s="9" t="n">
        <v>1</v>
      </c>
      <c r="D10" s="12" t="n">
        <f aca="false">B10*C10</f>
        <v>600</v>
      </c>
      <c r="E10" s="12" t="n">
        <f aca="false">IF(Inputs!$B$11=0,0,D10/Inputs!$B$11)</f>
        <v>1.84615384615385</v>
      </c>
      <c r="F10" s="4" t="s">
        <v>231</v>
      </c>
    </row>
    <row r="11" customFormat="false" ht="15" hidden="false" customHeight="false" outlineLevel="0" collapsed="false">
      <c r="A11" s="13" t="s">
        <v>232</v>
      </c>
      <c r="D11" s="17" t="n">
        <f aca="false">SUM(D5:D10)</f>
        <v>27300</v>
      </c>
      <c r="E11" s="17" t="n">
        <f aca="false">SUM(E5:E10)</f>
        <v>84</v>
      </c>
    </row>
    <row r="12" customFormat="false" ht="15" hidden="false" customHeight="false" outlineLevel="0" collapsed="false">
      <c r="A12" s="4" t="s">
        <v>233</v>
      </c>
      <c r="D12" s="12" t="n">
        <f aca="false">$B$2-D11+D9</f>
        <v>99200</v>
      </c>
      <c r="F12" s="4" t="s">
        <v>234</v>
      </c>
    </row>
    <row r="13" customFormat="false" ht="15" hidden="false" customHeight="false" outlineLevel="0" collapsed="false">
      <c r="A13" s="4" t="s">
        <v>235</v>
      </c>
      <c r="E13" s="12" t="n">
        <f aca="false">IF(Inputs!$B$11=0,0,D12/Inputs!$B$11)</f>
        <v>305.230769230769</v>
      </c>
    </row>
    <row r="14" customFormat="false" ht="15" hidden="false" customHeight="false" outlineLevel="0" collapsed="false">
      <c r="A14" s="4" t="s">
        <v>236</v>
      </c>
      <c r="E14" s="18" t="n">
        <f aca="false">'Space Equation'!C18</f>
        <v>369.230769230769</v>
      </c>
    </row>
    <row r="15" customFormat="false" ht="15" hidden="false" customHeight="false" outlineLevel="0" collapsed="false">
      <c r="A15" s="4" t="s">
        <v>237</v>
      </c>
      <c r="E15" s="20" t="n">
        <f aca="false">IF(Inputs!$B$5=0,0,E13/(Inputs!$B$5/1000))</f>
        <v>3.05230769230769</v>
      </c>
      <c r="F15" s="4" t="s">
        <v>238</v>
      </c>
    </row>
    <row r="16" customFormat="false" ht="15" hidden="false" customHeight="false" outlineLevel="0" collapsed="false">
      <c r="A16" s="4" t="s">
        <v>239</v>
      </c>
      <c r="E16" s="4" t="str">
        <f aca="false">IF(E15&lt;3,"ZONING RISK","OK")</f>
        <v>OK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5" min="5" style="0" width="56"/>
  </cols>
  <sheetData>
    <row r="1" customFormat="false" ht="17.35" hidden="false" customHeight="false" outlineLevel="0" collapsed="false">
      <c r="A1" s="1" t="s">
        <v>240</v>
      </c>
    </row>
    <row r="2" customFormat="false" ht="15" hidden="false" customHeight="false" outlineLevel="0" collapsed="false">
      <c r="A2" s="2" t="s">
        <v>241</v>
      </c>
    </row>
    <row r="4" customFormat="false" ht="15" hidden="false" customHeight="false" outlineLevel="0" collapsed="false">
      <c r="A4" s="3" t="s">
        <v>242</v>
      </c>
      <c r="B4" s="3" t="s">
        <v>243</v>
      </c>
      <c r="C4" s="3" t="s">
        <v>244</v>
      </c>
      <c r="D4" s="3" t="s">
        <v>245</v>
      </c>
      <c r="E4" s="3" t="s">
        <v>246</v>
      </c>
    </row>
    <row r="5" customFormat="false" ht="23.85" hidden="false" customHeight="false" outlineLevel="0" collapsed="false">
      <c r="A5" s="4" t="s">
        <v>247</v>
      </c>
      <c r="B5" s="9" t="n">
        <v>35</v>
      </c>
      <c r="C5" s="9" t="n">
        <v>35</v>
      </c>
      <c r="D5" s="12" t="n">
        <f aca="false">AVERAGE(B5:C5)</f>
        <v>35</v>
      </c>
      <c r="E5" s="22" t="s">
        <v>248</v>
      </c>
    </row>
    <row r="6" customFormat="false" ht="23.85" hidden="false" customHeight="false" outlineLevel="0" collapsed="false">
      <c r="A6" s="4" t="s">
        <v>249</v>
      </c>
      <c r="B6" s="9" t="n">
        <v>150</v>
      </c>
      <c r="C6" s="9" t="n">
        <v>250</v>
      </c>
      <c r="D6" s="12" t="n">
        <f aca="false">AVERAGE(B6:C6)</f>
        <v>200</v>
      </c>
      <c r="E6" s="22" t="s">
        <v>250</v>
      </c>
    </row>
    <row r="7" customFormat="false" ht="23.85" hidden="false" customHeight="false" outlineLevel="0" collapsed="false">
      <c r="A7" s="4" t="s">
        <v>251</v>
      </c>
      <c r="B7" s="9" t="n">
        <v>250</v>
      </c>
      <c r="C7" s="9" t="n">
        <v>600</v>
      </c>
      <c r="D7" s="12" t="n">
        <f aca="false">AVERAGE(B7:C7)</f>
        <v>425</v>
      </c>
      <c r="E7" s="22" t="s">
        <v>252</v>
      </c>
    </row>
    <row r="8" customFormat="false" ht="23.85" hidden="false" customHeight="false" outlineLevel="0" collapsed="false">
      <c r="A8" s="4" t="s">
        <v>253</v>
      </c>
      <c r="B8" s="9" t="n">
        <v>714</v>
      </c>
      <c r="C8" s="9" t="n">
        <v>2143</v>
      </c>
      <c r="D8" s="12" t="n">
        <f aca="false">AVERAGE(B8:C8)</f>
        <v>1428.5</v>
      </c>
      <c r="E8" s="22" t="s">
        <v>254</v>
      </c>
    </row>
    <row r="9" customFormat="false" ht="15" hidden="false" customHeight="false" outlineLevel="0" collapsed="false">
      <c r="A9" s="4" t="s">
        <v>255</v>
      </c>
      <c r="B9" s="9" t="n">
        <v>50</v>
      </c>
      <c r="C9" s="9" t="n">
        <v>500</v>
      </c>
      <c r="D9" s="12" t="n">
        <f aca="false">AVERAGE(B9:C9)</f>
        <v>275</v>
      </c>
      <c r="E9" s="22" t="s">
        <v>256</v>
      </c>
    </row>
    <row r="10" customFormat="false" ht="15" hidden="false" customHeight="false" outlineLevel="0" collapsed="false">
      <c r="A10" s="4" t="s">
        <v>257</v>
      </c>
      <c r="B10" s="9" t="n">
        <v>200</v>
      </c>
      <c r="C10" s="9" t="n">
        <v>200</v>
      </c>
      <c r="D10" s="12" t="n">
        <f aca="false">AVERAGE(B10:C10)</f>
        <v>200</v>
      </c>
      <c r="E10" s="22" t="s">
        <v>258</v>
      </c>
    </row>
    <row r="11" customFormat="false" ht="15" hidden="false" customHeight="false" outlineLevel="0" collapsed="false">
      <c r="E11" s="23"/>
    </row>
    <row r="12" customFormat="false" ht="15" hidden="false" customHeight="false" outlineLevel="0" collapsed="false">
      <c r="A12" s="13" t="s">
        <v>259</v>
      </c>
      <c r="E12" s="23"/>
    </row>
    <row r="13" customFormat="false" ht="15" hidden="false" customHeight="false" outlineLevel="0" collapsed="false">
      <c r="A13" s="3" t="s">
        <v>260</v>
      </c>
      <c r="B13" s="3" t="s">
        <v>261</v>
      </c>
      <c r="C13" s="3" t="s">
        <v>262</v>
      </c>
      <c r="D13" s="3" t="s">
        <v>263</v>
      </c>
      <c r="E13" s="24" t="s">
        <v>264</v>
      </c>
    </row>
    <row r="14" customFormat="false" ht="23.85" hidden="false" customHeight="false" outlineLevel="0" collapsed="false">
      <c r="A14" s="4" t="s">
        <v>265</v>
      </c>
      <c r="B14" s="9" t="n">
        <v>60</v>
      </c>
      <c r="C14" s="9" t="n">
        <v>200</v>
      </c>
      <c r="D14" s="12" t="n">
        <f aca="false">AVERAGE(B14:C14)</f>
        <v>130</v>
      </c>
      <c r="E14" s="22" t="s">
        <v>266</v>
      </c>
    </row>
    <row r="15" customFormat="false" ht="15" hidden="false" customHeight="false" outlineLevel="0" collapsed="false">
      <c r="A15" s="4" t="s">
        <v>267</v>
      </c>
      <c r="B15" s="9" t="n">
        <v>150</v>
      </c>
      <c r="C15" s="9" t="n">
        <v>250</v>
      </c>
      <c r="D15" s="12" t="n">
        <f aca="false">AVERAGE(B15:C15)</f>
        <v>200</v>
      </c>
      <c r="E15" s="22" t="s">
        <v>268</v>
      </c>
    </row>
    <row r="16" customFormat="false" ht="15" hidden="false" customHeight="false" outlineLevel="0" collapsed="false">
      <c r="A16" s="4" t="s">
        <v>269</v>
      </c>
      <c r="B16" s="9" t="n">
        <v>40</v>
      </c>
      <c r="C16" s="9" t="n">
        <v>120</v>
      </c>
      <c r="D16" s="12" t="n">
        <f aca="false">AVERAGE(B16:C16)</f>
        <v>80</v>
      </c>
      <c r="E16" s="22" t="s">
        <v>270</v>
      </c>
    </row>
    <row r="17" customFormat="false" ht="15" hidden="false" customHeight="false" outlineLevel="0" collapsed="false">
      <c r="E17" s="23"/>
    </row>
    <row r="18" customFormat="false" ht="15" hidden="false" customHeight="false" outlineLevel="0" collapsed="false">
      <c r="A18" s="13" t="s">
        <v>271</v>
      </c>
      <c r="E18" s="23"/>
    </row>
    <row r="19" customFormat="false" ht="15" hidden="false" customHeight="false" outlineLevel="0" collapsed="false">
      <c r="A19" s="3" t="s">
        <v>58</v>
      </c>
      <c r="B19" s="3" t="s">
        <v>3</v>
      </c>
      <c r="C19" s="3"/>
      <c r="D19" s="3"/>
      <c r="E19" s="24" t="s">
        <v>59</v>
      </c>
    </row>
    <row r="20" customFormat="false" ht="15" hidden="false" customHeight="false" outlineLevel="0" collapsed="false">
      <c r="A20" s="4" t="s">
        <v>272</v>
      </c>
      <c r="B20" s="18" t="n">
        <f aca="false">'Entrepreneur Layout'!E5</f>
        <v>300</v>
      </c>
      <c r="E20" s="22" t="s">
        <v>273</v>
      </c>
    </row>
    <row r="21" customFormat="false" ht="15" hidden="false" customHeight="false" outlineLevel="0" collapsed="false">
      <c r="A21" s="4" t="s">
        <v>274</v>
      </c>
      <c r="B21" s="18" t="n">
        <f aca="false">'Entrepreneur Layout'!E8</f>
        <v>100</v>
      </c>
      <c r="E21" s="23"/>
    </row>
    <row r="22" customFormat="false" ht="15" hidden="false" customHeight="false" outlineLevel="0" collapsed="false">
      <c r="A22" s="4" t="s">
        <v>275</v>
      </c>
      <c r="B22" s="11" t="n">
        <v>0.15</v>
      </c>
      <c r="E22" s="22" t="s">
        <v>276</v>
      </c>
    </row>
    <row r="23" customFormat="false" ht="15" hidden="false" customHeight="false" outlineLevel="0" collapsed="false">
      <c r="A23" s="4" t="s">
        <v>277</v>
      </c>
      <c r="B23" s="11" t="n">
        <v>0.55</v>
      </c>
      <c r="E23" s="22" t="s">
        <v>278</v>
      </c>
    </row>
    <row r="24" customFormat="false" ht="15" hidden="false" customHeight="false" outlineLevel="0" collapsed="false">
      <c r="A24" s="4" t="s">
        <v>279</v>
      </c>
      <c r="B24" s="11" t="n">
        <v>0.3</v>
      </c>
      <c r="E24" s="22" t="s">
        <v>280</v>
      </c>
    </row>
    <row r="25" customFormat="false" ht="15" hidden="false" customHeight="false" outlineLevel="0" collapsed="false">
      <c r="A25" s="4" t="s">
        <v>281</v>
      </c>
      <c r="B25" s="9" t="n">
        <v>360</v>
      </c>
      <c r="E25" s="23"/>
    </row>
    <row r="26" customFormat="false" ht="15" hidden="false" customHeight="false" outlineLevel="0" collapsed="false">
      <c r="A26" s="4" t="s">
        <v>282</v>
      </c>
      <c r="B26" s="12" t="n">
        <f aca="false">D14*(1-B22)+D15*B22</f>
        <v>140.5</v>
      </c>
      <c r="E26" s="22" t="s">
        <v>283</v>
      </c>
    </row>
    <row r="27" customFormat="false" ht="15" hidden="false" customHeight="false" outlineLevel="0" collapsed="false">
      <c r="A27" s="4" t="s">
        <v>284</v>
      </c>
      <c r="B27" s="17" t="n">
        <f aca="false">B20*B26*B23*B25</f>
        <v>8345700</v>
      </c>
      <c r="E27" s="22" t="s">
        <v>285</v>
      </c>
    </row>
    <row r="28" customFormat="false" ht="15" hidden="false" customHeight="false" outlineLevel="0" collapsed="false">
      <c r="A28" s="4" t="s">
        <v>286</v>
      </c>
      <c r="B28" s="17" t="n">
        <f aca="false">B21*D16*B24*B25</f>
        <v>864000</v>
      </c>
      <c r="E28" s="23"/>
    </row>
    <row r="29" customFormat="false" ht="15" hidden="false" customHeight="false" outlineLevel="0" collapsed="false">
      <c r="A29" s="4" t="s">
        <v>287</v>
      </c>
      <c r="B29" s="14" t="n">
        <f aca="false">B27+B28</f>
        <v>9209700</v>
      </c>
      <c r="E29" s="23"/>
    </row>
    <row r="30" customFormat="false" ht="23.85" hidden="false" customHeight="false" outlineLevel="0" collapsed="false">
      <c r="A30" s="4" t="s">
        <v>288</v>
      </c>
      <c r="B30" s="20" t="n">
        <f aca="false">IF(('Entrepreneur Layout'!F5+'Entrepreneur Layout'!F8)=0,0,B29/('Entrepreneur Layout'!F5+'Entrepreneur Layout'!F8))</f>
        <v>383.7375</v>
      </c>
      <c r="E30" s="22" t="s">
        <v>289</v>
      </c>
    </row>
    <row r="31" customFormat="false" ht="23.85" hidden="false" customHeight="false" outlineLevel="0" collapsed="false">
      <c r="A31" s="4" t="s">
        <v>290</v>
      </c>
      <c r="B31" s="20" t="n">
        <f aca="false">B30/25.5</f>
        <v>15.0485294117647</v>
      </c>
      <c r="E31" s="22" t="s">
        <v>291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2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1" t="s">
        <v>292</v>
      </c>
    </row>
    <row r="2" customFormat="false" ht="15" hidden="false" customHeight="false" outlineLevel="0" collapsed="false">
      <c r="A2" s="2" t="s">
        <v>293</v>
      </c>
    </row>
    <row r="4" customFormat="false" ht="15" hidden="false" customHeight="false" outlineLevel="0" collapsed="false">
      <c r="A4" s="3" t="s">
        <v>294</v>
      </c>
      <c r="B4" s="3" t="s">
        <v>295</v>
      </c>
      <c r="C4" s="3" t="s">
        <v>296</v>
      </c>
    </row>
    <row r="5" customFormat="false" ht="23.85" hidden="false" customHeight="false" outlineLevel="0" collapsed="false">
      <c r="A5" s="22" t="s">
        <v>297</v>
      </c>
      <c r="B5" s="11" t="n">
        <v>0.2</v>
      </c>
      <c r="C5" s="22" t="s">
        <v>298</v>
      </c>
    </row>
    <row r="6" customFormat="false" ht="23.85" hidden="false" customHeight="false" outlineLevel="0" collapsed="false">
      <c r="A6" s="22" t="s">
        <v>299</v>
      </c>
      <c r="B6" s="11" t="n">
        <v>0.15</v>
      </c>
      <c r="C6" s="22" t="s">
        <v>300</v>
      </c>
    </row>
    <row r="7" customFormat="false" ht="35.05" hidden="false" customHeight="false" outlineLevel="0" collapsed="false">
      <c r="A7" s="22" t="s">
        <v>301</v>
      </c>
      <c r="B7" s="11" t="n">
        <v>0.15</v>
      </c>
      <c r="C7" s="22" t="s">
        <v>302</v>
      </c>
    </row>
    <row r="8" customFormat="false" ht="23.85" hidden="false" customHeight="false" outlineLevel="0" collapsed="false">
      <c r="A8" s="22" t="s">
        <v>303</v>
      </c>
      <c r="B8" s="11" t="n">
        <v>0.2</v>
      </c>
      <c r="C8" s="22" t="s">
        <v>304</v>
      </c>
    </row>
    <row r="9" customFormat="false" ht="23.85" hidden="false" customHeight="false" outlineLevel="0" collapsed="false">
      <c r="A9" s="22" t="s">
        <v>305</v>
      </c>
      <c r="B9" s="11" t="n">
        <v>0.15</v>
      </c>
      <c r="C9" s="22" t="s">
        <v>306</v>
      </c>
    </row>
    <row r="10" customFormat="false" ht="23.85" hidden="false" customHeight="false" outlineLevel="0" collapsed="false">
      <c r="A10" s="22" t="s">
        <v>307</v>
      </c>
      <c r="B10" s="11" t="n">
        <v>0.05</v>
      </c>
      <c r="C10" s="22" t="s">
        <v>308</v>
      </c>
    </row>
    <row r="11" customFormat="false" ht="15" hidden="false" customHeight="false" outlineLevel="0" collapsed="false">
      <c r="A11" s="22" t="s">
        <v>309</v>
      </c>
      <c r="B11" s="11" t="n">
        <v>0.1</v>
      </c>
      <c r="C11" s="22" t="s">
        <v>310</v>
      </c>
    </row>
    <row r="12" customFormat="false" ht="15" hidden="false" customHeight="false" outlineLevel="0" collapsed="false">
      <c r="A12" s="25" t="s">
        <v>311</v>
      </c>
      <c r="B12" s="21" t="n">
        <f aca="false">SUM(B5:B11)</f>
        <v>1</v>
      </c>
      <c r="C12" s="22" t="str">
        <f aca="false">IF(ROUND(B12,4)=1,"OK","WEIGHTS DO NOT SUM TO 100%")</f>
        <v>OK</v>
      </c>
    </row>
    <row r="13" customFormat="false" ht="15" hidden="false" customHeight="false" outlineLevel="0" collapsed="false">
      <c r="A13" s="23"/>
      <c r="C13" s="23"/>
    </row>
    <row r="14" customFormat="false" ht="15" hidden="false" customHeight="false" outlineLevel="0" collapsed="false">
      <c r="A14" s="25" t="s">
        <v>312</v>
      </c>
      <c r="C14" s="23"/>
    </row>
    <row r="15" customFormat="false" ht="23.85" hidden="false" customHeight="false" outlineLevel="0" collapsed="false">
      <c r="A15" s="22" t="s">
        <v>313</v>
      </c>
      <c r="C15" s="22" t="s">
        <v>314</v>
      </c>
    </row>
    <row r="16" customFormat="false" ht="23.85" hidden="false" customHeight="false" outlineLevel="0" collapsed="false">
      <c r="A16" s="22" t="s">
        <v>315</v>
      </c>
      <c r="C16" s="22" t="s">
        <v>316</v>
      </c>
    </row>
    <row r="17" customFormat="false" ht="15" hidden="false" customHeight="false" outlineLevel="0" collapsed="false">
      <c r="A17" s="23"/>
      <c r="C17" s="23"/>
    </row>
    <row r="18" customFormat="false" ht="23.85" hidden="false" customHeight="false" outlineLevel="0" collapsed="false">
      <c r="A18" s="25" t="s">
        <v>317</v>
      </c>
      <c r="C18" s="23"/>
    </row>
    <row r="19" customFormat="false" ht="15" hidden="false" customHeight="false" outlineLevel="0" collapsed="false">
      <c r="A19" s="24" t="s">
        <v>318</v>
      </c>
      <c r="B19" s="3" t="s">
        <v>319</v>
      </c>
      <c r="C19" s="24" t="s">
        <v>320</v>
      </c>
    </row>
    <row r="20" customFormat="false" ht="15" hidden="false" customHeight="false" outlineLevel="0" collapsed="false">
      <c r="A20" s="22" t="s">
        <v>321</v>
      </c>
      <c r="B20" s="9" t="n">
        <v>205</v>
      </c>
      <c r="C20" s="22" t="s">
        <v>322</v>
      </c>
    </row>
    <row r="21" customFormat="false" ht="15" hidden="false" customHeight="false" outlineLevel="0" collapsed="false">
      <c r="A21" s="22" t="s">
        <v>323</v>
      </c>
      <c r="B21" s="9" t="n">
        <v>35</v>
      </c>
      <c r="C21" s="22" t="s">
        <v>324</v>
      </c>
    </row>
    <row r="22" customFormat="false" ht="15" hidden="false" customHeight="false" outlineLevel="0" collapsed="false">
      <c r="A22" s="22" t="s">
        <v>325</v>
      </c>
      <c r="B22" s="9" t="n">
        <v>29</v>
      </c>
      <c r="C22" s="22" t="s">
        <v>326</v>
      </c>
    </row>
    <row r="23" customFormat="false" ht="15" hidden="false" customHeight="false" outlineLevel="0" collapsed="false">
      <c r="A23" s="22" t="s">
        <v>327</v>
      </c>
      <c r="B23" s="9" t="n">
        <v>27</v>
      </c>
      <c r="C23" s="22" t="s">
        <v>328</v>
      </c>
    </row>
    <row r="24" customFormat="false" ht="15" hidden="false" customHeight="false" outlineLevel="0" collapsed="false">
      <c r="A24" s="22" t="s">
        <v>329</v>
      </c>
      <c r="B24" s="9" t="n">
        <v>23</v>
      </c>
      <c r="C24" s="22" t="s">
        <v>330</v>
      </c>
    </row>
    <row r="25" customFormat="false" ht="15" hidden="false" customHeight="false" outlineLevel="0" collapsed="false">
      <c r="A25" s="22" t="s">
        <v>331</v>
      </c>
      <c r="B25" s="9" t="n">
        <v>23</v>
      </c>
      <c r="C25" s="22" t="s">
        <v>332</v>
      </c>
    </row>
    <row r="26" customFormat="false" ht="15" hidden="false" customHeight="false" outlineLevel="0" collapsed="false">
      <c r="A26" s="22" t="s">
        <v>333</v>
      </c>
      <c r="B26" s="9" t="n">
        <v>22</v>
      </c>
      <c r="C26" s="22" t="s">
        <v>334</v>
      </c>
    </row>
    <row r="27" customFormat="false" ht="15" hidden="false" customHeight="false" outlineLevel="0" collapsed="false">
      <c r="A27" s="22" t="s">
        <v>335</v>
      </c>
      <c r="B27" s="9" t="n">
        <v>19</v>
      </c>
      <c r="C27" s="22" t="s">
        <v>336</v>
      </c>
    </row>
    <row r="28" customFormat="false" ht="15" hidden="false" customHeight="false" outlineLevel="0" collapsed="false">
      <c r="A28" s="22" t="s">
        <v>337</v>
      </c>
      <c r="B28" s="9" t="n">
        <v>19</v>
      </c>
      <c r="C28" s="22" t="s">
        <v>338</v>
      </c>
    </row>
    <row r="29" customFormat="false" ht="15" hidden="false" customHeight="false" outlineLevel="0" collapsed="false">
      <c r="A29" s="22" t="s">
        <v>339</v>
      </c>
      <c r="B29" s="9" t="n">
        <v>17</v>
      </c>
      <c r="C29" s="22" t="s">
        <v>340</v>
      </c>
    </row>
    <row r="30" customFormat="false" ht="15" hidden="false" customHeight="false" outlineLevel="0" collapsed="false">
      <c r="A30" s="23"/>
      <c r="C30" s="23"/>
    </row>
    <row r="31" customFormat="false" ht="35.05" hidden="false" customHeight="false" outlineLevel="0" collapsed="false">
      <c r="A31" s="25" t="s">
        <v>341</v>
      </c>
      <c r="C31" s="23"/>
    </row>
    <row r="32" customFormat="false" ht="15" hidden="false" customHeight="false" outlineLevel="0" collapsed="false">
      <c r="A32" s="24" t="s">
        <v>342</v>
      </c>
      <c r="B32" s="3" t="s">
        <v>343</v>
      </c>
      <c r="C32" s="24" t="s">
        <v>344</v>
      </c>
    </row>
    <row r="33" customFormat="false" ht="23.85" hidden="false" customHeight="false" outlineLevel="0" collapsed="false">
      <c r="A33" s="22" t="s">
        <v>345</v>
      </c>
      <c r="B33" s="9" t="n">
        <v>11</v>
      </c>
      <c r="C33" s="22" t="s">
        <v>346</v>
      </c>
    </row>
    <row r="34" customFormat="false" ht="23.85" hidden="false" customHeight="false" outlineLevel="0" collapsed="false">
      <c r="A34" s="22" t="s">
        <v>347</v>
      </c>
      <c r="B34" s="9" t="n">
        <v>10</v>
      </c>
      <c r="C34" s="22" t="s">
        <v>348</v>
      </c>
    </row>
    <row r="35" customFormat="false" ht="23.85" hidden="false" customHeight="false" outlineLevel="0" collapsed="false">
      <c r="A35" s="22" t="s">
        <v>349</v>
      </c>
      <c r="B35" s="9" t="n">
        <v>8</v>
      </c>
      <c r="C35" s="22" t="s">
        <v>350</v>
      </c>
    </row>
    <row r="36" customFormat="false" ht="23.85" hidden="false" customHeight="false" outlineLevel="0" collapsed="false">
      <c r="A36" s="22" t="s">
        <v>351</v>
      </c>
      <c r="B36" s="9" t="n">
        <v>7</v>
      </c>
      <c r="C36" s="22" t="s">
        <v>352</v>
      </c>
    </row>
    <row r="37" customFormat="false" ht="23.85" hidden="false" customHeight="false" outlineLevel="0" collapsed="false">
      <c r="A37" s="22" t="s">
        <v>353</v>
      </c>
      <c r="B37" s="9" t="n">
        <v>7</v>
      </c>
      <c r="C37" s="22" t="s">
        <v>354</v>
      </c>
    </row>
    <row r="38" customFormat="false" ht="23.85" hidden="false" customHeight="false" outlineLevel="0" collapsed="false">
      <c r="A38" s="22" t="s">
        <v>355</v>
      </c>
      <c r="B38" s="9" t="n">
        <v>6</v>
      </c>
      <c r="C38" s="22" t="s">
        <v>356</v>
      </c>
    </row>
    <row r="39" customFormat="false" ht="23.85" hidden="false" customHeight="false" outlineLevel="0" collapsed="false">
      <c r="A39" s="22" t="s">
        <v>357</v>
      </c>
      <c r="B39" s="9" t="n">
        <v>6</v>
      </c>
      <c r="C39" s="22" t="s">
        <v>358</v>
      </c>
    </row>
    <row r="40" customFormat="false" ht="23.85" hidden="false" customHeight="false" outlineLevel="0" collapsed="false">
      <c r="A40" s="22" t="s">
        <v>359</v>
      </c>
      <c r="B40" s="9" t="n">
        <v>5</v>
      </c>
      <c r="C40" s="22" t="s">
        <v>360</v>
      </c>
    </row>
    <row r="41" customFormat="false" ht="15" hidden="false" customHeight="false" outlineLevel="0" collapsed="false">
      <c r="A41" s="22" t="s">
        <v>361</v>
      </c>
      <c r="B41" s="9" t="n">
        <v>4</v>
      </c>
      <c r="C41" s="22" t="s">
        <v>362</v>
      </c>
    </row>
    <row r="42" customFormat="false" ht="23.85" hidden="false" customHeight="false" outlineLevel="0" collapsed="false">
      <c r="A42" s="22" t="s">
        <v>363</v>
      </c>
      <c r="B42" s="9" t="s">
        <v>364</v>
      </c>
      <c r="C42" s="22" t="s">
        <v>365</v>
      </c>
    </row>
    <row r="43" customFormat="false" ht="15" hidden="false" customHeight="false" outlineLevel="0" collapsed="false">
      <c r="A43" s="22" t="s">
        <v>366</v>
      </c>
      <c r="B43" s="9" t="s">
        <v>364</v>
      </c>
      <c r="C43" s="22" t="s">
        <v>367</v>
      </c>
    </row>
    <row r="44" customFormat="false" ht="23.85" hidden="false" customHeight="false" outlineLevel="0" collapsed="false">
      <c r="A44" s="22" t="s">
        <v>368</v>
      </c>
      <c r="B44" s="9" t="s">
        <v>364</v>
      </c>
      <c r="C44" s="22" t="s">
        <v>369</v>
      </c>
    </row>
    <row r="45" customFormat="false" ht="23.85" hidden="false" customHeight="false" outlineLevel="0" collapsed="false">
      <c r="A45" s="22" t="s">
        <v>370</v>
      </c>
      <c r="B45" s="9" t="s">
        <v>364</v>
      </c>
      <c r="C45" s="22" t="s">
        <v>371</v>
      </c>
    </row>
    <row r="46" customFormat="false" ht="15" hidden="false" customHeight="false" outlineLevel="0" collapsed="false">
      <c r="A46" s="22" t="s">
        <v>372</v>
      </c>
      <c r="B46" s="9" t="s">
        <v>364</v>
      </c>
      <c r="C46" s="22" t="s">
        <v>373</v>
      </c>
    </row>
    <row r="47" customFormat="false" ht="15" hidden="false" customHeight="false" outlineLevel="0" collapsed="false">
      <c r="A47" s="22" t="s">
        <v>374</v>
      </c>
      <c r="B47" s="9" t="s">
        <v>364</v>
      </c>
      <c r="C47" s="22" t="s">
        <v>375</v>
      </c>
    </row>
    <row r="48" customFormat="false" ht="15" hidden="false" customHeight="false" outlineLevel="0" collapsed="false">
      <c r="A48" s="22" t="s">
        <v>376</v>
      </c>
      <c r="B48" s="9" t="s">
        <v>364</v>
      </c>
      <c r="C48" s="22" t="s">
        <v>377</v>
      </c>
    </row>
    <row r="49" customFormat="false" ht="15" hidden="false" customHeight="false" outlineLevel="0" collapsed="false">
      <c r="A49" s="22" t="s">
        <v>378</v>
      </c>
      <c r="B49" s="9" t="s">
        <v>364</v>
      </c>
      <c r="C49" s="22" t="s">
        <v>379</v>
      </c>
    </row>
    <row r="50" customFormat="false" ht="23.85" hidden="false" customHeight="false" outlineLevel="0" collapsed="false">
      <c r="A50" s="22" t="s">
        <v>380</v>
      </c>
      <c r="B50" s="9" t="s">
        <v>364</v>
      </c>
      <c r="C50" s="22" t="s">
        <v>381</v>
      </c>
    </row>
    <row r="51" customFormat="false" ht="46.25" hidden="false" customHeight="false" outlineLevel="0" collapsed="false">
      <c r="A51" s="22" t="s">
        <v>382</v>
      </c>
      <c r="B51" s="9" t="s">
        <v>364</v>
      </c>
      <c r="C51" s="22" t="s">
        <v>383</v>
      </c>
    </row>
    <row r="52" customFormat="false" ht="15" hidden="false" customHeight="false" outlineLevel="0" collapsed="false">
      <c r="A52" s="23"/>
      <c r="C52" s="2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0"/>
  </cols>
  <sheetData>
    <row r="1" customFormat="false" ht="15" hidden="false" customHeight="false" outlineLevel="0" collapsed="false">
      <c r="A1" s="26" t="s">
        <v>384</v>
      </c>
    </row>
    <row r="2" customFormat="false" ht="23.85" hidden="false" customHeight="false" outlineLevel="0" collapsed="false">
      <c r="A2" s="27" t="s">
        <v>385</v>
      </c>
    </row>
    <row r="3" customFormat="false" ht="23.85" hidden="false" customHeight="false" outlineLevel="0" collapsed="false">
      <c r="A3" s="27" t="s">
        <v>386</v>
      </c>
    </row>
    <row r="4" customFormat="false" ht="23.85" hidden="false" customHeight="false" outlineLevel="0" collapsed="false">
      <c r="A4" s="27" t="s">
        <v>387</v>
      </c>
    </row>
    <row r="5" customFormat="false" ht="35.05" hidden="false" customHeight="false" outlineLevel="0" collapsed="false">
      <c r="A5" s="27" t="s">
        <v>388</v>
      </c>
    </row>
    <row r="6" customFormat="false" ht="15" hidden="false" customHeight="false" outlineLevel="0" collapsed="false">
      <c r="A6" s="27" t="s">
        <v>389</v>
      </c>
    </row>
    <row r="7" customFormat="false" ht="15" hidden="false" customHeight="false" outlineLevel="0" collapsed="false">
      <c r="A7" s="27"/>
    </row>
    <row r="8" customFormat="false" ht="15" hidden="false" customHeight="false" outlineLevel="0" collapsed="false">
      <c r="A8" s="27" t="s">
        <v>390</v>
      </c>
    </row>
    <row r="9" customFormat="false" ht="23.85" hidden="false" customHeight="false" outlineLevel="0" collapsed="false">
      <c r="A9" s="27" t="s">
        <v>391</v>
      </c>
    </row>
    <row r="10" customFormat="false" ht="23.85" hidden="false" customHeight="false" outlineLevel="0" collapsed="false">
      <c r="A10" s="27" t="s">
        <v>392</v>
      </c>
    </row>
    <row r="11" customFormat="false" ht="15" hidden="false" customHeight="false" outlineLevel="0" collapsed="false">
      <c r="A11" s="27" t="s">
        <v>393</v>
      </c>
    </row>
    <row r="12" customFormat="false" ht="15" hidden="false" customHeight="false" outlineLevel="0" collapsed="false">
      <c r="A12" s="27" t="s">
        <v>394</v>
      </c>
    </row>
    <row r="13" customFormat="false" ht="15" hidden="false" customHeight="false" outlineLevel="0" collapsed="false">
      <c r="A13" s="27"/>
    </row>
    <row r="14" customFormat="false" ht="15" hidden="false" customHeight="false" outlineLevel="0" collapsed="false">
      <c r="A14" s="26" t="s">
        <v>395</v>
      </c>
    </row>
    <row r="15" customFormat="false" ht="23.85" hidden="false" customHeight="false" outlineLevel="0" collapsed="false">
      <c r="A15" s="27" t="s">
        <v>396</v>
      </c>
    </row>
    <row r="16" customFormat="false" ht="23.85" hidden="false" customHeight="false" outlineLevel="0" collapsed="false">
      <c r="A16" s="27" t="s">
        <v>397</v>
      </c>
    </row>
    <row r="17" customFormat="false" ht="23.85" hidden="false" customHeight="false" outlineLevel="0" collapsed="false">
      <c r="A17" s="27" t="s">
        <v>398</v>
      </c>
    </row>
    <row r="18" customFormat="false" ht="15" hidden="false" customHeight="false" outlineLevel="0" collapsed="false">
      <c r="A18" s="27" t="s">
        <v>399</v>
      </c>
    </row>
    <row r="19" customFormat="false" ht="15" hidden="false" customHeight="false" outlineLevel="0" collapsed="false">
      <c r="A19" s="27" t="s">
        <v>400</v>
      </c>
    </row>
    <row r="20" customFormat="false" ht="15" hidden="false" customHeight="false" outlineLevel="0" collapsed="false">
      <c r="A20" s="27"/>
    </row>
    <row r="21" customFormat="false" ht="15" hidden="false" customHeight="false" outlineLevel="0" collapsed="false">
      <c r="A21" s="27" t="s">
        <v>401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2026-09-01T22:33:53Z</dcterms:created>
  <dc:creator>openpyxl</dc:creator>
  <dc:description/>
  <dc:language>en-US</dc:language>
  <cp:lastModifiedBy/>
  <dcterms:modified xsi:type="dcterms:W3CDTF">2026-09-01T22:33:53Z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